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54373\Desktop\R4（第45回）\"/>
    </mc:Choice>
  </mc:AlternateContent>
  <bookViews>
    <workbookView xWindow="-120" yWindow="-120" windowWidth="29040" windowHeight="15720" tabRatio="908"/>
  </bookViews>
  <sheets>
    <sheet name="問1S（表）" sheetId="5" r:id="rId1"/>
    <sheet name="問1-2M（表）" sheetId="27" r:id="rId2"/>
    <sheet name="問2S（表）" sheetId="8" r:id="rId3"/>
    <sheet name="問3M（表）" sheetId="38" r:id="rId4"/>
    <sheet name="問4M（表）" sheetId="14" r:id="rId5"/>
    <sheet name="問5M（表）" sheetId="17" r:id="rId6"/>
    <sheet name="問6S（表）" sheetId="19" r:id="rId7"/>
    <sheet name="問6-2M（表）" sheetId="21" r:id="rId8"/>
    <sheet name="問6-3M（表）" sheetId="23" r:id="rId9"/>
    <sheet name="問7S（表）" sheetId="25" r:id="rId10"/>
    <sheet name="問8M（表）" sheetId="39" r:id="rId11"/>
    <sheet name="問9S（表）" sheetId="40" r:id="rId12"/>
    <sheet name="問9-2S（表）" sheetId="41" r:id="rId13"/>
    <sheet name="問10-1M（表）" sheetId="42" r:id="rId14"/>
    <sheet name="問10-2M（表）" sheetId="43" r:id="rId15"/>
    <sheet name="問11-1M（表）" sheetId="44" r:id="rId16"/>
  </sheets>
  <externalReferences>
    <externalReference r:id="rId17"/>
  </externalReferences>
  <definedNames>
    <definedName name="【Q09_1】">[1]ﾛｰﾃﾞｰﾀ!$CV$11:$CV$1446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44" l="1"/>
  <c r="C4" i="44"/>
  <c r="D4" i="44"/>
  <c r="E4" i="44"/>
  <c r="F4" i="44"/>
  <c r="G4" i="44"/>
  <c r="H4" i="44"/>
  <c r="J9" i="44" s="1"/>
  <c r="I4" i="44"/>
  <c r="J4" i="44"/>
  <c r="K4" i="44"/>
  <c r="L4" i="44"/>
  <c r="M4" i="44"/>
  <c r="N4" i="44"/>
  <c r="O4" i="44"/>
  <c r="P4" i="44"/>
  <c r="P9" i="44" s="1"/>
  <c r="Q4" i="44"/>
  <c r="R4" i="44"/>
  <c r="S4" i="44"/>
  <c r="T4" i="44"/>
  <c r="U4" i="44"/>
  <c r="V4" i="44"/>
  <c r="W4" i="44"/>
  <c r="X4" i="44"/>
  <c r="X9" i="44" s="1"/>
  <c r="Y4" i="44"/>
  <c r="Z4" i="44"/>
  <c r="AA4" i="44"/>
  <c r="AB4" i="44"/>
  <c r="AC4" i="44"/>
  <c r="AD4" i="44"/>
  <c r="AE4" i="44"/>
  <c r="AF4" i="44"/>
  <c r="AF9" i="44" s="1"/>
  <c r="AG4" i="44"/>
  <c r="AH4" i="44"/>
  <c r="AI4" i="44"/>
  <c r="AJ4" i="44"/>
  <c r="AK4" i="44"/>
  <c r="AL4" i="44"/>
  <c r="AN5" i="44"/>
  <c r="AO5" i="44"/>
  <c r="B6" i="44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N7" i="44"/>
  <c r="AO7" i="44"/>
  <c r="B8" i="44"/>
  <c r="B28" i="44" s="1"/>
  <c r="C8" i="44"/>
  <c r="D8" i="44"/>
  <c r="E8" i="44"/>
  <c r="F8" i="44"/>
  <c r="G8" i="44"/>
  <c r="H8" i="44"/>
  <c r="I8" i="44"/>
  <c r="J8" i="44"/>
  <c r="K8" i="44"/>
  <c r="L8" i="44"/>
  <c r="M8" i="44"/>
  <c r="N8" i="44"/>
  <c r="O8" i="44"/>
  <c r="P8" i="44"/>
  <c r="Q8" i="44"/>
  <c r="R8" i="44"/>
  <c r="S8" i="44"/>
  <c r="T8" i="44"/>
  <c r="U8" i="44"/>
  <c r="V8" i="44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H9" i="44"/>
  <c r="R9" i="44"/>
  <c r="AB9" i="44"/>
  <c r="B13" i="44"/>
  <c r="AN13" i="44"/>
  <c r="B14" i="44"/>
  <c r="B15" i="44"/>
  <c r="AN15" i="44"/>
  <c r="B16" i="44"/>
  <c r="B17" i="44"/>
  <c r="AN17" i="44"/>
  <c r="B18" i="44"/>
  <c r="A22" i="44"/>
  <c r="N22" i="44" s="1"/>
  <c r="B22" i="44"/>
  <c r="C22" i="44"/>
  <c r="D22" i="44"/>
  <c r="E22" i="44"/>
  <c r="F22" i="44"/>
  <c r="G22" i="44"/>
  <c r="S22" i="44" s="1"/>
  <c r="H22" i="44"/>
  <c r="T22" i="44" s="1"/>
  <c r="I22" i="44"/>
  <c r="U22" i="44" s="1"/>
  <c r="J22" i="44"/>
  <c r="V22" i="44" s="1"/>
  <c r="K22" i="44"/>
  <c r="L22" i="44"/>
  <c r="O22" i="44"/>
  <c r="P22" i="44"/>
  <c r="Q22" i="44"/>
  <c r="R22" i="44"/>
  <c r="W22" i="44"/>
  <c r="X22" i="44"/>
  <c r="B23" i="44"/>
  <c r="C23" i="44"/>
  <c r="D23" i="44"/>
  <c r="E23" i="44"/>
  <c r="F23" i="44"/>
  <c r="G23" i="44"/>
  <c r="H23" i="44"/>
  <c r="I23" i="44"/>
  <c r="J23" i="44"/>
  <c r="K23" i="44"/>
  <c r="L23" i="44"/>
  <c r="T23" i="44"/>
  <c r="U23" i="44"/>
  <c r="V23" i="44"/>
  <c r="B24" i="44"/>
  <c r="C24" i="44"/>
  <c r="D24" i="44"/>
  <c r="E24" i="44"/>
  <c r="F24" i="44"/>
  <c r="G24" i="44"/>
  <c r="H24" i="44"/>
  <c r="I24" i="44"/>
  <c r="J24" i="44"/>
  <c r="K24" i="44"/>
  <c r="L24" i="44"/>
  <c r="O24" i="44"/>
  <c r="P24" i="44"/>
  <c r="Q24" i="44"/>
  <c r="B25" i="44"/>
  <c r="C25" i="44"/>
  <c r="D25" i="44"/>
  <c r="E25" i="44"/>
  <c r="F25" i="44"/>
  <c r="G25" i="44"/>
  <c r="H25" i="44"/>
  <c r="I25" i="44"/>
  <c r="J25" i="44"/>
  <c r="K25" i="44"/>
  <c r="L25" i="44"/>
  <c r="B26" i="44"/>
  <c r="C26" i="44"/>
  <c r="O23" i="44" s="1"/>
  <c r="D26" i="44"/>
  <c r="P23" i="44" s="1"/>
  <c r="P25" i="44" s="1"/>
  <c r="E26" i="44"/>
  <c r="Q23" i="44" s="1"/>
  <c r="Q25" i="44" s="1"/>
  <c r="F26" i="44"/>
  <c r="R23" i="44" s="1"/>
  <c r="R25" i="44" s="1"/>
  <c r="G26" i="44"/>
  <c r="S23" i="44" s="1"/>
  <c r="S25" i="44" s="1"/>
  <c r="H26" i="44"/>
  <c r="I26" i="44"/>
  <c r="J26" i="44"/>
  <c r="K26" i="44"/>
  <c r="W23" i="44" s="1"/>
  <c r="L26" i="44"/>
  <c r="X23" i="44" s="1"/>
  <c r="B27" i="44"/>
  <c r="C27" i="44"/>
  <c r="D27" i="44"/>
  <c r="E27" i="44"/>
  <c r="F27" i="44"/>
  <c r="G27" i="44"/>
  <c r="H27" i="44"/>
  <c r="I27" i="44"/>
  <c r="J27" i="44"/>
  <c r="K27" i="44"/>
  <c r="L27" i="44"/>
  <c r="C28" i="44"/>
  <c r="D28" i="44"/>
  <c r="E28" i="44"/>
  <c r="F28" i="44"/>
  <c r="R24" i="44" s="1"/>
  <c r="G28" i="44"/>
  <c r="S24" i="44" s="1"/>
  <c r="H28" i="44"/>
  <c r="T24" i="44" s="1"/>
  <c r="I28" i="44"/>
  <c r="U24" i="44" s="1"/>
  <c r="U25" i="44" s="1"/>
  <c r="J28" i="44"/>
  <c r="V24" i="44" s="1"/>
  <c r="V25" i="44" s="1"/>
  <c r="K28" i="44"/>
  <c r="W24" i="44" s="1"/>
  <c r="W25" i="44" s="1"/>
  <c r="L28" i="44"/>
  <c r="X24" i="44" s="1"/>
  <c r="B30" i="44"/>
  <c r="B31" i="44"/>
  <c r="C31" i="44"/>
  <c r="D31" i="44"/>
  <c r="E31" i="44"/>
  <c r="E90" i="44" s="1"/>
  <c r="E137" i="44" s="1"/>
  <c r="F31" i="44"/>
  <c r="G31" i="44"/>
  <c r="H31" i="44"/>
  <c r="I31" i="44"/>
  <c r="J31" i="44"/>
  <c r="K31" i="44"/>
  <c r="L31" i="44"/>
  <c r="M31" i="44"/>
  <c r="M90" i="44" s="1"/>
  <c r="M137" i="44" s="1"/>
  <c r="N31" i="44"/>
  <c r="O31" i="44"/>
  <c r="P31" i="44"/>
  <c r="Q31" i="44"/>
  <c r="R31" i="44"/>
  <c r="S31" i="44"/>
  <c r="T31" i="44"/>
  <c r="U31" i="44"/>
  <c r="U90" i="44" s="1"/>
  <c r="U137" i="44" s="1"/>
  <c r="V31" i="44"/>
  <c r="W31" i="44"/>
  <c r="X31" i="44"/>
  <c r="Y31" i="44"/>
  <c r="Z31" i="44"/>
  <c r="AA31" i="44"/>
  <c r="AB31" i="44"/>
  <c r="AC31" i="44"/>
  <c r="AC90" i="44" s="1"/>
  <c r="AC137" i="44" s="1"/>
  <c r="AD31" i="44"/>
  <c r="AE31" i="44"/>
  <c r="AF31" i="44"/>
  <c r="AG31" i="44"/>
  <c r="AH31" i="44"/>
  <c r="AI31" i="44"/>
  <c r="AJ31" i="44"/>
  <c r="AK31" i="44"/>
  <c r="AK90" i="44" s="1"/>
  <c r="AK137" i="44" s="1"/>
  <c r="AL31" i="44"/>
  <c r="C32" i="44"/>
  <c r="D32" i="44"/>
  <c r="E32" i="44"/>
  <c r="F32" i="44"/>
  <c r="G32" i="44"/>
  <c r="H32" i="44"/>
  <c r="AN32" i="44" s="1"/>
  <c r="I32" i="44"/>
  <c r="J32" i="44"/>
  <c r="K32" i="44"/>
  <c r="L32" i="44"/>
  <c r="M32" i="44"/>
  <c r="N32" i="44"/>
  <c r="O32" i="44"/>
  <c r="P32" i="44"/>
  <c r="Q32" i="44"/>
  <c r="R32" i="44"/>
  <c r="S32" i="44"/>
  <c r="T32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AJ32" i="44"/>
  <c r="AK32" i="44"/>
  <c r="AL32" i="44"/>
  <c r="AN34" i="44"/>
  <c r="AN36" i="44"/>
  <c r="AN38" i="44"/>
  <c r="AN40" i="44"/>
  <c r="AN42" i="44"/>
  <c r="AN44" i="44"/>
  <c r="AN46" i="44"/>
  <c r="AN52" i="44"/>
  <c r="AN54" i="44"/>
  <c r="AN56" i="44"/>
  <c r="AN58" i="44"/>
  <c r="AN60" i="44"/>
  <c r="AN62" i="44"/>
  <c r="AN64" i="44"/>
  <c r="AN66" i="44"/>
  <c r="AN68" i="44"/>
  <c r="A71" i="44"/>
  <c r="N71" i="44" s="1"/>
  <c r="B71" i="44"/>
  <c r="B122" i="44" s="1"/>
  <c r="B185" i="44" s="1"/>
  <c r="B208" i="44" s="1"/>
  <c r="C71" i="44"/>
  <c r="D71" i="44"/>
  <c r="E71" i="44"/>
  <c r="F71" i="44"/>
  <c r="R71" i="44" s="1"/>
  <c r="G71" i="44"/>
  <c r="S71" i="44" s="1"/>
  <c r="H71" i="44"/>
  <c r="I71" i="44"/>
  <c r="J71" i="44"/>
  <c r="V71" i="44" s="1"/>
  <c r="K71" i="44"/>
  <c r="L71" i="44"/>
  <c r="X71" i="44" s="1"/>
  <c r="O71" i="44"/>
  <c r="P71" i="44"/>
  <c r="Q71" i="44"/>
  <c r="T71" i="44"/>
  <c r="U71" i="44"/>
  <c r="W71" i="44"/>
  <c r="C72" i="44"/>
  <c r="D72" i="44"/>
  <c r="E72" i="44"/>
  <c r="F72" i="44"/>
  <c r="G72" i="44"/>
  <c r="H72" i="44"/>
  <c r="I72" i="44"/>
  <c r="J72" i="44"/>
  <c r="K72" i="44"/>
  <c r="L72" i="44"/>
  <c r="S72" i="44"/>
  <c r="C73" i="44"/>
  <c r="D73" i="44"/>
  <c r="E73" i="44"/>
  <c r="F73" i="44"/>
  <c r="G73" i="44"/>
  <c r="H73" i="44"/>
  <c r="I73" i="44"/>
  <c r="J73" i="44"/>
  <c r="K73" i="44"/>
  <c r="L73" i="44"/>
  <c r="P73" i="44"/>
  <c r="R73" i="44"/>
  <c r="X73" i="44"/>
  <c r="C74" i="44"/>
  <c r="D74" i="44"/>
  <c r="E74" i="44"/>
  <c r="F74" i="44"/>
  <c r="G74" i="44"/>
  <c r="H74" i="44"/>
  <c r="I74" i="44"/>
  <c r="J74" i="44"/>
  <c r="K74" i="44"/>
  <c r="L74" i="44"/>
  <c r="U74" i="44"/>
  <c r="C75" i="44"/>
  <c r="O72" i="44" s="1"/>
  <c r="D75" i="44"/>
  <c r="P72" i="44" s="1"/>
  <c r="E75" i="44"/>
  <c r="Q72" i="44" s="1"/>
  <c r="F75" i="44"/>
  <c r="R72" i="44" s="1"/>
  <c r="G75" i="44"/>
  <c r="H75" i="44"/>
  <c r="T72" i="44" s="1"/>
  <c r="I75" i="44"/>
  <c r="U72" i="44" s="1"/>
  <c r="J75" i="44"/>
  <c r="V72" i="44" s="1"/>
  <c r="K75" i="44"/>
  <c r="W72" i="44" s="1"/>
  <c r="L75" i="44"/>
  <c r="X72" i="44" s="1"/>
  <c r="U75" i="44"/>
  <c r="C76" i="44"/>
  <c r="D76" i="44"/>
  <c r="E76" i="44"/>
  <c r="F76" i="44"/>
  <c r="G76" i="44"/>
  <c r="H76" i="44"/>
  <c r="I76" i="44"/>
  <c r="J76" i="44"/>
  <c r="K76" i="44"/>
  <c r="L76" i="44"/>
  <c r="T76" i="44"/>
  <c r="C77" i="44"/>
  <c r="O73" i="44" s="1"/>
  <c r="D77" i="44"/>
  <c r="E77" i="44"/>
  <c r="Q73" i="44" s="1"/>
  <c r="F77" i="44"/>
  <c r="G77" i="44"/>
  <c r="S73" i="44" s="1"/>
  <c r="H77" i="44"/>
  <c r="T73" i="44" s="1"/>
  <c r="I77" i="44"/>
  <c r="U73" i="44" s="1"/>
  <c r="J77" i="44"/>
  <c r="V73" i="44" s="1"/>
  <c r="K77" i="44"/>
  <c r="W73" i="44" s="1"/>
  <c r="L77" i="44"/>
  <c r="C78" i="44"/>
  <c r="D78" i="44"/>
  <c r="E78" i="44"/>
  <c r="F78" i="44"/>
  <c r="G78" i="44"/>
  <c r="H78" i="44"/>
  <c r="I78" i="44"/>
  <c r="J78" i="44"/>
  <c r="K78" i="44"/>
  <c r="L78" i="44"/>
  <c r="C79" i="44"/>
  <c r="O74" i="44" s="1"/>
  <c r="D79" i="44"/>
  <c r="P74" i="44" s="1"/>
  <c r="E79" i="44"/>
  <c r="Q74" i="44" s="1"/>
  <c r="F79" i="44"/>
  <c r="R74" i="44" s="1"/>
  <c r="G79" i="44"/>
  <c r="S74" i="44" s="1"/>
  <c r="H79" i="44"/>
  <c r="T74" i="44" s="1"/>
  <c r="I79" i="44"/>
  <c r="J79" i="44"/>
  <c r="V74" i="44" s="1"/>
  <c r="K79" i="44"/>
  <c r="W74" i="44" s="1"/>
  <c r="L79" i="44"/>
  <c r="X74" i="44" s="1"/>
  <c r="C80" i="44"/>
  <c r="D80" i="44"/>
  <c r="E80" i="44"/>
  <c r="F80" i="44"/>
  <c r="G80" i="44"/>
  <c r="H80" i="44"/>
  <c r="I80" i="44"/>
  <c r="J80" i="44"/>
  <c r="K80" i="44"/>
  <c r="L80" i="44"/>
  <c r="C81" i="44"/>
  <c r="O75" i="44" s="1"/>
  <c r="D81" i="44"/>
  <c r="P75" i="44" s="1"/>
  <c r="E81" i="44"/>
  <c r="Q75" i="44" s="1"/>
  <c r="F81" i="44"/>
  <c r="R75" i="44" s="1"/>
  <c r="G81" i="44"/>
  <c r="S75" i="44" s="1"/>
  <c r="H81" i="44"/>
  <c r="T75" i="44" s="1"/>
  <c r="I81" i="44"/>
  <c r="J81" i="44"/>
  <c r="V75" i="44" s="1"/>
  <c r="K81" i="44"/>
  <c r="W75" i="44" s="1"/>
  <c r="L81" i="44"/>
  <c r="X75" i="44" s="1"/>
  <c r="C82" i="44"/>
  <c r="D82" i="44"/>
  <c r="E82" i="44"/>
  <c r="F82" i="44"/>
  <c r="G82" i="44"/>
  <c r="H82" i="44"/>
  <c r="I82" i="44"/>
  <c r="J82" i="44"/>
  <c r="K82" i="44"/>
  <c r="L82" i="44"/>
  <c r="C83" i="44"/>
  <c r="O76" i="44" s="1"/>
  <c r="D83" i="44"/>
  <c r="P76" i="44" s="1"/>
  <c r="E83" i="44"/>
  <c r="Q76" i="44" s="1"/>
  <c r="F83" i="44"/>
  <c r="R76" i="44" s="1"/>
  <c r="G83" i="44"/>
  <c r="S76" i="44" s="1"/>
  <c r="H83" i="44"/>
  <c r="I83" i="44"/>
  <c r="U76" i="44" s="1"/>
  <c r="J83" i="44"/>
  <c r="V76" i="44" s="1"/>
  <c r="K83" i="44"/>
  <c r="W76" i="44" s="1"/>
  <c r="L83" i="44"/>
  <c r="X76" i="44" s="1"/>
  <c r="C84" i="44"/>
  <c r="D84" i="44"/>
  <c r="E84" i="44"/>
  <c r="F84" i="44"/>
  <c r="G84" i="44"/>
  <c r="H84" i="44"/>
  <c r="I84" i="44"/>
  <c r="J84" i="44"/>
  <c r="K84" i="44"/>
  <c r="L84" i="44"/>
  <c r="C85" i="44"/>
  <c r="O77" i="44" s="1"/>
  <c r="D85" i="44"/>
  <c r="P77" i="44" s="1"/>
  <c r="E85" i="44"/>
  <c r="Q77" i="44" s="1"/>
  <c r="F85" i="44"/>
  <c r="R77" i="44" s="1"/>
  <c r="G85" i="44"/>
  <c r="S77" i="44" s="1"/>
  <c r="H85" i="44"/>
  <c r="T77" i="44" s="1"/>
  <c r="I85" i="44"/>
  <c r="U77" i="44" s="1"/>
  <c r="J85" i="44"/>
  <c r="V77" i="44" s="1"/>
  <c r="K85" i="44"/>
  <c r="W77" i="44" s="1"/>
  <c r="L85" i="44"/>
  <c r="X77" i="44" s="1"/>
  <c r="C86" i="44"/>
  <c r="D86" i="44"/>
  <c r="E86" i="44"/>
  <c r="F86" i="44"/>
  <c r="G86" i="44"/>
  <c r="H86" i="44"/>
  <c r="I86" i="44"/>
  <c r="J86" i="44"/>
  <c r="K86" i="44"/>
  <c r="L86" i="44"/>
  <c r="C87" i="44"/>
  <c r="O78" i="44" s="1"/>
  <c r="D87" i="44"/>
  <c r="P78" i="44" s="1"/>
  <c r="E87" i="44"/>
  <c r="Q78" i="44" s="1"/>
  <c r="F87" i="44"/>
  <c r="R78" i="44" s="1"/>
  <c r="G87" i="44"/>
  <c r="S78" i="44" s="1"/>
  <c r="H87" i="44"/>
  <c r="T78" i="44" s="1"/>
  <c r="I87" i="44"/>
  <c r="U78" i="44" s="1"/>
  <c r="J87" i="44"/>
  <c r="V78" i="44" s="1"/>
  <c r="K87" i="44"/>
  <c r="W78" i="44" s="1"/>
  <c r="L87" i="44"/>
  <c r="X78" i="44" s="1"/>
  <c r="B89" i="44"/>
  <c r="B90" i="44"/>
  <c r="B137" i="44" s="1"/>
  <c r="C90" i="44"/>
  <c r="C137" i="44" s="1"/>
  <c r="D90" i="44"/>
  <c r="D137" i="44" s="1"/>
  <c r="F90" i="44"/>
  <c r="G90" i="44"/>
  <c r="G137" i="44" s="1"/>
  <c r="H90" i="44"/>
  <c r="I90" i="44"/>
  <c r="J90" i="44"/>
  <c r="J137" i="44" s="1"/>
  <c r="K90" i="44"/>
  <c r="K137" i="44" s="1"/>
  <c r="L90" i="44"/>
  <c r="N90" i="44"/>
  <c r="O90" i="44"/>
  <c r="O137" i="44" s="1"/>
  <c r="P90" i="44"/>
  <c r="Q90" i="44"/>
  <c r="R90" i="44"/>
  <c r="R137" i="44" s="1"/>
  <c r="S90" i="44"/>
  <c r="S137" i="44" s="1"/>
  <c r="T90" i="44"/>
  <c r="T137" i="44" s="1"/>
  <c r="V90" i="44"/>
  <c r="W90" i="44"/>
  <c r="W137" i="44" s="1"/>
  <c r="X90" i="44"/>
  <c r="Y90" i="44"/>
  <c r="Z90" i="44"/>
  <c r="Z137" i="44" s="1"/>
  <c r="AA90" i="44"/>
  <c r="AA137" i="44" s="1"/>
  <c r="AB90" i="44"/>
  <c r="AD90" i="44"/>
  <c r="AE90" i="44"/>
  <c r="AE137" i="44" s="1"/>
  <c r="AF90" i="44"/>
  <c r="AG90" i="44"/>
  <c r="AH90" i="44"/>
  <c r="AH137" i="44" s="1"/>
  <c r="AI90" i="44"/>
  <c r="AI137" i="44" s="1"/>
  <c r="AJ90" i="44"/>
  <c r="AJ137" i="44" s="1"/>
  <c r="AL90" i="44"/>
  <c r="C91" i="44"/>
  <c r="D91" i="44"/>
  <c r="E91" i="44"/>
  <c r="F91" i="44"/>
  <c r="G91" i="44"/>
  <c r="H91" i="44"/>
  <c r="I91" i="44"/>
  <c r="J91" i="44"/>
  <c r="K91" i="44"/>
  <c r="L91" i="44"/>
  <c r="M91" i="44"/>
  <c r="N91" i="44"/>
  <c r="O91" i="44"/>
  <c r="P91" i="44"/>
  <c r="Q91" i="44"/>
  <c r="R91" i="44"/>
  <c r="S91" i="44"/>
  <c r="T91" i="44"/>
  <c r="U91" i="44"/>
  <c r="V91" i="44"/>
  <c r="W91" i="44"/>
  <c r="X91" i="44"/>
  <c r="Y91" i="44"/>
  <c r="Z91" i="44"/>
  <c r="AA91" i="44"/>
  <c r="AB91" i="44"/>
  <c r="AC91" i="44"/>
  <c r="AD91" i="44"/>
  <c r="AE91" i="44"/>
  <c r="AF91" i="44"/>
  <c r="AG91" i="44"/>
  <c r="AH91" i="44"/>
  <c r="AI91" i="44"/>
  <c r="AJ91" i="44"/>
  <c r="AK91" i="44"/>
  <c r="AL91" i="44"/>
  <c r="AN93" i="44"/>
  <c r="AN95" i="44"/>
  <c r="AN97" i="44"/>
  <c r="AN99" i="44"/>
  <c r="AN101" i="44"/>
  <c r="AN107" i="44"/>
  <c r="AN109" i="44"/>
  <c r="AN111" i="44"/>
  <c r="AN113" i="44"/>
  <c r="AN115" i="44"/>
  <c r="AN117" i="44"/>
  <c r="AN119" i="44"/>
  <c r="A122" i="44"/>
  <c r="N122" i="44" s="1"/>
  <c r="C122" i="44"/>
  <c r="D122" i="44"/>
  <c r="P122" i="44" s="1"/>
  <c r="E122" i="44"/>
  <c r="Q122" i="44" s="1"/>
  <c r="F122" i="44"/>
  <c r="G122" i="44"/>
  <c r="S122" i="44" s="1"/>
  <c r="H122" i="44"/>
  <c r="I122" i="44"/>
  <c r="U122" i="44" s="1"/>
  <c r="J122" i="44"/>
  <c r="V122" i="44" s="1"/>
  <c r="K122" i="44"/>
  <c r="L122" i="44"/>
  <c r="X122" i="44" s="1"/>
  <c r="O122" i="44"/>
  <c r="R122" i="44"/>
  <c r="T122" i="44"/>
  <c r="W122" i="44"/>
  <c r="C123" i="44"/>
  <c r="D123" i="44"/>
  <c r="E123" i="44"/>
  <c r="F123" i="44"/>
  <c r="G123" i="44"/>
  <c r="H123" i="44"/>
  <c r="I123" i="44"/>
  <c r="J123" i="44"/>
  <c r="K123" i="44"/>
  <c r="L123" i="44"/>
  <c r="V123" i="44"/>
  <c r="C124" i="44"/>
  <c r="D124" i="44"/>
  <c r="E124" i="44"/>
  <c r="F124" i="44"/>
  <c r="G124" i="44"/>
  <c r="H124" i="44"/>
  <c r="I124" i="44"/>
  <c r="J124" i="44"/>
  <c r="K124" i="44"/>
  <c r="L124" i="44"/>
  <c r="O124" i="44"/>
  <c r="C125" i="44"/>
  <c r="D125" i="44"/>
  <c r="E125" i="44"/>
  <c r="F125" i="44"/>
  <c r="G125" i="44"/>
  <c r="H125" i="44"/>
  <c r="I125" i="44"/>
  <c r="J125" i="44"/>
  <c r="K125" i="44"/>
  <c r="L125" i="44"/>
  <c r="C126" i="44"/>
  <c r="O123" i="44" s="1"/>
  <c r="D126" i="44"/>
  <c r="P123" i="44" s="1"/>
  <c r="E126" i="44"/>
  <c r="Q123" i="44" s="1"/>
  <c r="F126" i="44"/>
  <c r="R123" i="44" s="1"/>
  <c r="G126" i="44"/>
  <c r="S123" i="44" s="1"/>
  <c r="H126" i="44"/>
  <c r="T123" i="44" s="1"/>
  <c r="I126" i="44"/>
  <c r="U123" i="44" s="1"/>
  <c r="J126" i="44"/>
  <c r="K126" i="44"/>
  <c r="W123" i="44" s="1"/>
  <c r="L126" i="44"/>
  <c r="X123" i="44" s="1"/>
  <c r="C127" i="44"/>
  <c r="D127" i="44"/>
  <c r="E127" i="44"/>
  <c r="F127" i="44"/>
  <c r="G127" i="44"/>
  <c r="H127" i="44"/>
  <c r="I127" i="44"/>
  <c r="J127" i="44"/>
  <c r="K127" i="44"/>
  <c r="L127" i="44"/>
  <c r="O127" i="44"/>
  <c r="C128" i="44"/>
  <c r="D128" i="44"/>
  <c r="P124" i="44" s="1"/>
  <c r="E128" i="44"/>
  <c r="Q124" i="44" s="1"/>
  <c r="F128" i="44"/>
  <c r="R124" i="44" s="1"/>
  <c r="G128" i="44"/>
  <c r="S124" i="44" s="1"/>
  <c r="H128" i="44"/>
  <c r="T124" i="44" s="1"/>
  <c r="I128" i="44"/>
  <c r="U124" i="44" s="1"/>
  <c r="J128" i="44"/>
  <c r="V124" i="44" s="1"/>
  <c r="K128" i="44"/>
  <c r="W124" i="44" s="1"/>
  <c r="L128" i="44"/>
  <c r="X124" i="44" s="1"/>
  <c r="C129" i="44"/>
  <c r="D129" i="44"/>
  <c r="E129" i="44"/>
  <c r="F129" i="44"/>
  <c r="G129" i="44"/>
  <c r="H129" i="44"/>
  <c r="I129" i="44"/>
  <c r="J129" i="44"/>
  <c r="K129" i="44"/>
  <c r="L129" i="44"/>
  <c r="C130" i="44"/>
  <c r="O125" i="44" s="1"/>
  <c r="D130" i="44"/>
  <c r="P125" i="44" s="1"/>
  <c r="E130" i="44"/>
  <c r="Q125" i="44" s="1"/>
  <c r="F130" i="44"/>
  <c r="R125" i="44" s="1"/>
  <c r="G130" i="44"/>
  <c r="S125" i="44" s="1"/>
  <c r="H130" i="44"/>
  <c r="T125" i="44" s="1"/>
  <c r="I130" i="44"/>
  <c r="U125" i="44" s="1"/>
  <c r="J130" i="44"/>
  <c r="V125" i="44" s="1"/>
  <c r="K130" i="44"/>
  <c r="W125" i="44" s="1"/>
  <c r="L130" i="44"/>
  <c r="X125" i="44" s="1"/>
  <c r="C131" i="44"/>
  <c r="D131" i="44"/>
  <c r="E131" i="44"/>
  <c r="F131" i="44"/>
  <c r="G131" i="44"/>
  <c r="H131" i="44"/>
  <c r="I131" i="44"/>
  <c r="J131" i="44"/>
  <c r="K131" i="44"/>
  <c r="L131" i="44"/>
  <c r="C132" i="44"/>
  <c r="O126" i="44" s="1"/>
  <c r="D132" i="44"/>
  <c r="P126" i="44" s="1"/>
  <c r="E132" i="44"/>
  <c r="Q126" i="44" s="1"/>
  <c r="F132" i="44"/>
  <c r="R126" i="44" s="1"/>
  <c r="G132" i="44"/>
  <c r="S126" i="44" s="1"/>
  <c r="H132" i="44"/>
  <c r="T126" i="44" s="1"/>
  <c r="I132" i="44"/>
  <c r="U126" i="44" s="1"/>
  <c r="J132" i="44"/>
  <c r="V126" i="44" s="1"/>
  <c r="K132" i="44"/>
  <c r="W126" i="44" s="1"/>
  <c r="L132" i="44"/>
  <c r="X126" i="44" s="1"/>
  <c r="C133" i="44"/>
  <c r="D133" i="44"/>
  <c r="E133" i="44"/>
  <c r="F133" i="44"/>
  <c r="G133" i="44"/>
  <c r="H133" i="44"/>
  <c r="I133" i="44"/>
  <c r="J133" i="44"/>
  <c r="K133" i="44"/>
  <c r="L133" i="44"/>
  <c r="C134" i="44"/>
  <c r="D134" i="44"/>
  <c r="P127" i="44" s="1"/>
  <c r="E134" i="44"/>
  <c r="Q127" i="44" s="1"/>
  <c r="F134" i="44"/>
  <c r="R127" i="44" s="1"/>
  <c r="G134" i="44"/>
  <c r="S127" i="44" s="1"/>
  <c r="H134" i="44"/>
  <c r="T127" i="44" s="1"/>
  <c r="I134" i="44"/>
  <c r="U127" i="44" s="1"/>
  <c r="J134" i="44"/>
  <c r="V127" i="44" s="1"/>
  <c r="K134" i="44"/>
  <c r="W127" i="44" s="1"/>
  <c r="L134" i="44"/>
  <c r="X127" i="44" s="1"/>
  <c r="B136" i="44"/>
  <c r="F137" i="44"/>
  <c r="H137" i="44"/>
  <c r="I137" i="44"/>
  <c r="L137" i="44"/>
  <c r="N137" i="44"/>
  <c r="P137" i="44"/>
  <c r="Q137" i="44"/>
  <c r="V137" i="44"/>
  <c r="X137" i="44"/>
  <c r="Y137" i="44"/>
  <c r="AB137" i="44"/>
  <c r="AD137" i="44"/>
  <c r="AF137" i="44"/>
  <c r="AG137" i="44"/>
  <c r="AL137" i="44"/>
  <c r="B138" i="44"/>
  <c r="E139" i="44" s="1"/>
  <c r="C138" i="44"/>
  <c r="D138" i="44"/>
  <c r="E138" i="44"/>
  <c r="F138" i="44"/>
  <c r="G138" i="44"/>
  <c r="H138" i="44"/>
  <c r="I138" i="44"/>
  <c r="I139" i="44" s="1"/>
  <c r="J138" i="44"/>
  <c r="K138" i="44"/>
  <c r="L138" i="44"/>
  <c r="M138" i="44"/>
  <c r="N138" i="44"/>
  <c r="O138" i="44"/>
  <c r="P138" i="44"/>
  <c r="Q138" i="44"/>
  <c r="Q139" i="44" s="1"/>
  <c r="R138" i="44"/>
  <c r="R139" i="44" s="1"/>
  <c r="S138" i="44"/>
  <c r="T138" i="44"/>
  <c r="T139" i="44" s="1"/>
  <c r="U138" i="44"/>
  <c r="V138" i="44"/>
  <c r="W138" i="44"/>
  <c r="X138" i="44"/>
  <c r="Y138" i="44"/>
  <c r="Y139" i="44" s="1"/>
  <c r="Z138" i="44"/>
  <c r="Z139" i="44" s="1"/>
  <c r="AA138" i="44"/>
  <c r="AB138" i="44"/>
  <c r="AC138" i="44"/>
  <c r="AD138" i="44"/>
  <c r="AD139" i="44" s="1"/>
  <c r="AE138" i="44"/>
  <c r="AF138" i="44"/>
  <c r="AG138" i="44"/>
  <c r="AG139" i="44" s="1"/>
  <c r="AH138" i="44"/>
  <c r="AI138" i="44"/>
  <c r="AJ138" i="44"/>
  <c r="AJ139" i="44" s="1"/>
  <c r="AK138" i="44"/>
  <c r="AL138" i="44"/>
  <c r="AL139" i="44" s="1"/>
  <c r="B139" i="44"/>
  <c r="B163" i="44" s="1"/>
  <c r="C139" i="44"/>
  <c r="D139" i="44"/>
  <c r="J139" i="44"/>
  <c r="S139" i="44"/>
  <c r="U139" i="44"/>
  <c r="AH139" i="44"/>
  <c r="AI139" i="44"/>
  <c r="B140" i="44"/>
  <c r="H141" i="44" s="1"/>
  <c r="AN140" i="44"/>
  <c r="J141" i="44"/>
  <c r="Y141" i="44"/>
  <c r="B142" i="44"/>
  <c r="J143" i="44" s="1"/>
  <c r="AN142" i="44"/>
  <c r="C143" i="44"/>
  <c r="S143" i="44"/>
  <c r="AE143" i="44"/>
  <c r="AL143" i="44"/>
  <c r="B144" i="44"/>
  <c r="F145" i="44" s="1"/>
  <c r="AN144" i="44"/>
  <c r="E145" i="44"/>
  <c r="O145" i="44"/>
  <c r="U145" i="44"/>
  <c r="Y145" i="44"/>
  <c r="AE145" i="44"/>
  <c r="B146" i="44"/>
  <c r="H147" i="44" s="1"/>
  <c r="AN146" i="44"/>
  <c r="C147" i="44"/>
  <c r="D147" i="44"/>
  <c r="F147" i="44"/>
  <c r="I147" i="44"/>
  <c r="K147" i="44"/>
  <c r="M147" i="44"/>
  <c r="N147" i="44"/>
  <c r="P147" i="44"/>
  <c r="T147" i="44"/>
  <c r="U147" i="44"/>
  <c r="W147" i="44"/>
  <c r="X147" i="44"/>
  <c r="AB147" i="44"/>
  <c r="AD147" i="44"/>
  <c r="AE147" i="44"/>
  <c r="AG147" i="44"/>
  <c r="AI147" i="44"/>
  <c r="AL147" i="44"/>
  <c r="B148" i="44"/>
  <c r="J149" i="44" s="1"/>
  <c r="AN148" i="44"/>
  <c r="H149" i="44"/>
  <c r="R149" i="44"/>
  <c r="AA149" i="44"/>
  <c r="AJ149" i="44"/>
  <c r="B150" i="44"/>
  <c r="AI151" i="44" s="1"/>
  <c r="AN150" i="44"/>
  <c r="AB151" i="44"/>
  <c r="B152" i="44"/>
  <c r="C153" i="44" s="1"/>
  <c r="AN152" i="44"/>
  <c r="D153" i="44"/>
  <c r="G153" i="44"/>
  <c r="J153" i="44"/>
  <c r="L153" i="44"/>
  <c r="N153" i="44"/>
  <c r="O153" i="44"/>
  <c r="R153" i="44"/>
  <c r="T153" i="44"/>
  <c r="W153" i="44"/>
  <c r="Z153" i="44"/>
  <c r="AB153" i="44"/>
  <c r="AD153" i="44"/>
  <c r="AE153" i="44"/>
  <c r="AH153" i="44"/>
  <c r="AJ153" i="44"/>
  <c r="B154" i="44"/>
  <c r="T155" i="44" s="1"/>
  <c r="AN154" i="44"/>
  <c r="Z155" i="44"/>
  <c r="B156" i="44"/>
  <c r="AB157" i="44" s="1"/>
  <c r="AN156" i="44"/>
  <c r="Z157" i="44"/>
  <c r="B162" i="44"/>
  <c r="AN162" i="44"/>
  <c r="AN164" i="44"/>
  <c r="B166" i="44"/>
  <c r="AN166" i="44"/>
  <c r="AN168" i="44"/>
  <c r="B170" i="44"/>
  <c r="AN170" i="44"/>
  <c r="AN172" i="44"/>
  <c r="AN174" i="44"/>
  <c r="AN176" i="44"/>
  <c r="AN178" i="44"/>
  <c r="AN180" i="44"/>
  <c r="AN182" i="44"/>
  <c r="A185" i="44"/>
  <c r="A208" i="44" s="1"/>
  <c r="C185" i="44"/>
  <c r="D185" i="44"/>
  <c r="E185" i="44"/>
  <c r="E208" i="44" s="1"/>
  <c r="Q208" i="44" s="1"/>
  <c r="F185" i="44"/>
  <c r="G185" i="44"/>
  <c r="H185" i="44"/>
  <c r="H208" i="44" s="1"/>
  <c r="T208" i="44" s="1"/>
  <c r="I185" i="44"/>
  <c r="I208" i="44" s="1"/>
  <c r="U208" i="44" s="1"/>
  <c r="J185" i="44"/>
  <c r="J208" i="44" s="1"/>
  <c r="K185" i="44"/>
  <c r="L185" i="44"/>
  <c r="B186" i="44"/>
  <c r="B209" i="44" s="1"/>
  <c r="C186" i="44"/>
  <c r="C209" i="44" s="1"/>
  <c r="D186" i="44"/>
  <c r="D209" i="44" s="1"/>
  <c r="E186" i="44"/>
  <c r="E209" i="44" s="1"/>
  <c r="F186" i="44"/>
  <c r="F209" i="44" s="1"/>
  <c r="G186" i="44"/>
  <c r="H186" i="44"/>
  <c r="I186" i="44"/>
  <c r="J186" i="44"/>
  <c r="J209" i="44" s="1"/>
  <c r="K186" i="44"/>
  <c r="K209" i="44" s="1"/>
  <c r="L186" i="44"/>
  <c r="L209" i="44" s="1"/>
  <c r="C187" i="44"/>
  <c r="C210" i="44" s="1"/>
  <c r="D187" i="44"/>
  <c r="E187" i="44"/>
  <c r="F187" i="44"/>
  <c r="G187" i="44"/>
  <c r="H187" i="44"/>
  <c r="H210" i="44" s="1"/>
  <c r="I187" i="44"/>
  <c r="I210" i="44" s="1"/>
  <c r="J187" i="44"/>
  <c r="K187" i="44"/>
  <c r="K210" i="44" s="1"/>
  <c r="L187" i="44"/>
  <c r="C188" i="44"/>
  <c r="D188" i="44"/>
  <c r="E188" i="44"/>
  <c r="E211" i="44" s="1"/>
  <c r="F188" i="44"/>
  <c r="F211" i="44" s="1"/>
  <c r="G188" i="44"/>
  <c r="H188" i="44"/>
  <c r="H211" i="44" s="1"/>
  <c r="I188" i="44"/>
  <c r="J188" i="44"/>
  <c r="K188" i="44"/>
  <c r="L188" i="44"/>
  <c r="C189" i="44"/>
  <c r="C212" i="44" s="1"/>
  <c r="O209" i="44" s="1"/>
  <c r="D189" i="44"/>
  <c r="D212" i="44" s="1"/>
  <c r="P209" i="44" s="1"/>
  <c r="E189" i="44"/>
  <c r="F189" i="44"/>
  <c r="F212" i="44" s="1"/>
  <c r="R209" i="44" s="1"/>
  <c r="G189" i="44"/>
  <c r="G212" i="44" s="1"/>
  <c r="S209" i="44" s="1"/>
  <c r="H189" i="44"/>
  <c r="H212" i="44" s="1"/>
  <c r="T209" i="44" s="1"/>
  <c r="I189" i="44"/>
  <c r="J189" i="44"/>
  <c r="J212" i="44" s="1"/>
  <c r="V209" i="44" s="1"/>
  <c r="K189" i="44"/>
  <c r="K212" i="44" s="1"/>
  <c r="W209" i="44" s="1"/>
  <c r="L189" i="44"/>
  <c r="L212" i="44" s="1"/>
  <c r="X209" i="44" s="1"/>
  <c r="C190" i="44"/>
  <c r="D190" i="44"/>
  <c r="E190" i="44"/>
  <c r="F190" i="44"/>
  <c r="G190" i="44"/>
  <c r="H190" i="44"/>
  <c r="I190" i="44"/>
  <c r="I223" i="44" s="1"/>
  <c r="J190" i="44"/>
  <c r="K190" i="44"/>
  <c r="L190" i="44"/>
  <c r="C191" i="44"/>
  <c r="D191" i="44"/>
  <c r="E191" i="44"/>
  <c r="F191" i="44"/>
  <c r="G191" i="44"/>
  <c r="H191" i="44"/>
  <c r="I191" i="44"/>
  <c r="J191" i="44"/>
  <c r="K191" i="44"/>
  <c r="L191" i="44"/>
  <c r="B192" i="44"/>
  <c r="B213" i="44" s="1"/>
  <c r="C192" i="44"/>
  <c r="D192" i="44"/>
  <c r="D213" i="44" s="1"/>
  <c r="E192" i="44"/>
  <c r="F192" i="44"/>
  <c r="F213" i="44" s="1"/>
  <c r="G192" i="44"/>
  <c r="H192" i="44"/>
  <c r="H213" i="44" s="1"/>
  <c r="I192" i="44"/>
  <c r="I213" i="44" s="1"/>
  <c r="J192" i="44"/>
  <c r="K192" i="44"/>
  <c r="L192" i="44"/>
  <c r="L213" i="44" s="1"/>
  <c r="C193" i="44"/>
  <c r="C214" i="44" s="1"/>
  <c r="O210" i="44" s="1"/>
  <c r="D193" i="44"/>
  <c r="E193" i="44"/>
  <c r="E214" i="44" s="1"/>
  <c r="Q210" i="44" s="1"/>
  <c r="F193" i="44"/>
  <c r="G193" i="44"/>
  <c r="H193" i="44"/>
  <c r="I193" i="44"/>
  <c r="J193" i="44"/>
  <c r="J214" i="44" s="1"/>
  <c r="V210" i="44" s="1"/>
  <c r="K193" i="44"/>
  <c r="K214" i="44" s="1"/>
  <c r="W210" i="44" s="1"/>
  <c r="L193" i="44"/>
  <c r="B194" i="44"/>
  <c r="B215" i="44" s="1"/>
  <c r="C194" i="44"/>
  <c r="D194" i="44"/>
  <c r="E194" i="44"/>
  <c r="F194" i="44"/>
  <c r="G194" i="44"/>
  <c r="G215" i="44" s="1"/>
  <c r="H194" i="44"/>
  <c r="I194" i="44"/>
  <c r="I215" i="44" s="1"/>
  <c r="J194" i="44"/>
  <c r="J215" i="44" s="1"/>
  <c r="K194" i="44"/>
  <c r="L194" i="44"/>
  <c r="C195" i="44"/>
  <c r="D195" i="44"/>
  <c r="E195" i="44"/>
  <c r="E216" i="44" s="1"/>
  <c r="Q211" i="44" s="1"/>
  <c r="F195" i="44"/>
  <c r="F216" i="44" s="1"/>
  <c r="R211" i="44" s="1"/>
  <c r="G195" i="44"/>
  <c r="H195" i="44"/>
  <c r="H216" i="44" s="1"/>
  <c r="T211" i="44" s="1"/>
  <c r="I195" i="44"/>
  <c r="J195" i="44"/>
  <c r="K195" i="44"/>
  <c r="L195" i="44"/>
  <c r="L216" i="44" s="1"/>
  <c r="X211" i="44" s="1"/>
  <c r="B196" i="44"/>
  <c r="B217" i="44" s="1"/>
  <c r="C196" i="44"/>
  <c r="D196" i="44"/>
  <c r="E196" i="44"/>
  <c r="E217" i="44" s="1"/>
  <c r="F196" i="44"/>
  <c r="G196" i="44"/>
  <c r="H196" i="44"/>
  <c r="H217" i="44" s="1"/>
  <c r="I196" i="44"/>
  <c r="I217" i="44" s="1"/>
  <c r="J196" i="44"/>
  <c r="J217" i="44" s="1"/>
  <c r="K196" i="44"/>
  <c r="L196" i="44"/>
  <c r="C197" i="44"/>
  <c r="C218" i="44" s="1"/>
  <c r="O212" i="44" s="1"/>
  <c r="D197" i="44"/>
  <c r="E197" i="44"/>
  <c r="F197" i="44"/>
  <c r="F218" i="44" s="1"/>
  <c r="R212" i="44" s="1"/>
  <c r="G197" i="44"/>
  <c r="G218" i="44" s="1"/>
  <c r="S212" i="44" s="1"/>
  <c r="H197" i="44"/>
  <c r="H218" i="44" s="1"/>
  <c r="T212" i="44" s="1"/>
  <c r="I197" i="44"/>
  <c r="J197" i="44"/>
  <c r="K197" i="44"/>
  <c r="K218" i="44" s="1"/>
  <c r="W212" i="44" s="1"/>
  <c r="L197" i="44"/>
  <c r="B198" i="44"/>
  <c r="C198" i="44"/>
  <c r="D198" i="44"/>
  <c r="E198" i="44"/>
  <c r="F198" i="44"/>
  <c r="G198" i="44"/>
  <c r="H198" i="44"/>
  <c r="I198" i="44"/>
  <c r="J198" i="44"/>
  <c r="K198" i="44"/>
  <c r="L198" i="44"/>
  <c r="C199" i="44"/>
  <c r="D199" i="44"/>
  <c r="E199" i="44"/>
  <c r="F199" i="44"/>
  <c r="G199" i="44"/>
  <c r="H199" i="44"/>
  <c r="I199" i="44"/>
  <c r="J199" i="44"/>
  <c r="K199" i="44"/>
  <c r="L199" i="44"/>
  <c r="B200" i="44"/>
  <c r="B219" i="44" s="1"/>
  <c r="C200" i="44"/>
  <c r="C219" i="44" s="1"/>
  <c r="D200" i="44"/>
  <c r="E200" i="44"/>
  <c r="E219" i="44" s="1"/>
  <c r="F200" i="44"/>
  <c r="G200" i="44"/>
  <c r="H200" i="44"/>
  <c r="H219" i="44" s="1"/>
  <c r="I200" i="44"/>
  <c r="J200" i="44"/>
  <c r="J219" i="44" s="1"/>
  <c r="K200" i="44"/>
  <c r="K219" i="44" s="1"/>
  <c r="L200" i="44"/>
  <c r="C201" i="44"/>
  <c r="D201" i="44"/>
  <c r="E201" i="44"/>
  <c r="E220" i="44" s="1"/>
  <c r="Q213" i="44" s="1"/>
  <c r="F201" i="44"/>
  <c r="F220" i="44" s="1"/>
  <c r="R213" i="44" s="1"/>
  <c r="G201" i="44"/>
  <c r="G220" i="44" s="1"/>
  <c r="S213" i="44" s="1"/>
  <c r="H201" i="44"/>
  <c r="H220" i="44" s="1"/>
  <c r="T213" i="44" s="1"/>
  <c r="I201" i="44"/>
  <c r="I220" i="44" s="1"/>
  <c r="U213" i="44" s="1"/>
  <c r="J201" i="44"/>
  <c r="J220" i="44" s="1"/>
  <c r="K201" i="44"/>
  <c r="L201" i="44"/>
  <c r="C202" i="44"/>
  <c r="C221" i="44" s="1"/>
  <c r="D202" i="44"/>
  <c r="D221" i="44" s="1"/>
  <c r="E202" i="44"/>
  <c r="F202" i="44"/>
  <c r="F221" i="44" s="1"/>
  <c r="G202" i="44"/>
  <c r="H202" i="44"/>
  <c r="I202" i="44"/>
  <c r="J202" i="44"/>
  <c r="K202" i="44"/>
  <c r="K221" i="44" s="1"/>
  <c r="L202" i="44"/>
  <c r="L221" i="44" s="1"/>
  <c r="C203" i="44"/>
  <c r="C222" i="44" s="1"/>
  <c r="O214" i="44" s="1"/>
  <c r="D203" i="44"/>
  <c r="E203" i="44"/>
  <c r="F203" i="44"/>
  <c r="G203" i="44"/>
  <c r="H203" i="44"/>
  <c r="H222" i="44" s="1"/>
  <c r="T214" i="44" s="1"/>
  <c r="I203" i="44"/>
  <c r="I222" i="44" s="1"/>
  <c r="J203" i="44"/>
  <c r="J222" i="44" s="1"/>
  <c r="V214" i="44" s="1"/>
  <c r="K203" i="44"/>
  <c r="L203" i="44"/>
  <c r="C204" i="44"/>
  <c r="C223" i="44" s="1"/>
  <c r="D204" i="44"/>
  <c r="E204" i="44"/>
  <c r="F204" i="44"/>
  <c r="G204" i="44"/>
  <c r="H204" i="44"/>
  <c r="I204" i="44"/>
  <c r="J204" i="44"/>
  <c r="K204" i="44"/>
  <c r="K223" i="44" s="1"/>
  <c r="L204" i="44"/>
  <c r="C205" i="44"/>
  <c r="D205" i="44"/>
  <c r="E205" i="44"/>
  <c r="F205" i="44"/>
  <c r="G205" i="44"/>
  <c r="H205" i="44"/>
  <c r="I205" i="44"/>
  <c r="J205" i="44"/>
  <c r="K205" i="44"/>
  <c r="L205" i="44"/>
  <c r="C208" i="44"/>
  <c r="D208" i="44"/>
  <c r="P208" i="44" s="1"/>
  <c r="F208" i="44"/>
  <c r="R208" i="44" s="1"/>
  <c r="G208" i="44"/>
  <c r="S208" i="44" s="1"/>
  <c r="K208" i="44"/>
  <c r="L208" i="44"/>
  <c r="X208" i="44" s="1"/>
  <c r="N208" i="44"/>
  <c r="O208" i="44"/>
  <c r="V208" i="44"/>
  <c r="W208" i="44"/>
  <c r="G209" i="44"/>
  <c r="H209" i="44"/>
  <c r="I209" i="44"/>
  <c r="D210" i="44"/>
  <c r="E210" i="44"/>
  <c r="F210" i="44"/>
  <c r="G210" i="44"/>
  <c r="J210" i="44"/>
  <c r="L210" i="44"/>
  <c r="R210" i="44"/>
  <c r="C211" i="44"/>
  <c r="D211" i="44"/>
  <c r="G211" i="44"/>
  <c r="I211" i="44"/>
  <c r="J211" i="44"/>
  <c r="K211" i="44"/>
  <c r="L211" i="44"/>
  <c r="E212" i="44"/>
  <c r="Q209" i="44" s="1"/>
  <c r="I212" i="44"/>
  <c r="U209" i="44" s="1"/>
  <c r="C213" i="44"/>
  <c r="E213" i="44"/>
  <c r="G213" i="44"/>
  <c r="J213" i="44"/>
  <c r="K213" i="44"/>
  <c r="V213" i="44"/>
  <c r="D214" i="44"/>
  <c r="P210" i="44" s="1"/>
  <c r="F214" i="44"/>
  <c r="G214" i="44"/>
  <c r="S210" i="44" s="1"/>
  <c r="H214" i="44"/>
  <c r="T210" i="44" s="1"/>
  <c r="I214" i="44"/>
  <c r="U210" i="44" s="1"/>
  <c r="L214" i="44"/>
  <c r="X210" i="44" s="1"/>
  <c r="U214" i="44"/>
  <c r="C215" i="44"/>
  <c r="D215" i="44"/>
  <c r="E215" i="44"/>
  <c r="F215" i="44"/>
  <c r="H215" i="44"/>
  <c r="K215" i="44"/>
  <c r="L215" i="44"/>
  <c r="C216" i="44"/>
  <c r="O211" i="44" s="1"/>
  <c r="D216" i="44"/>
  <c r="P211" i="44" s="1"/>
  <c r="G216" i="44"/>
  <c r="S211" i="44" s="1"/>
  <c r="I216" i="44"/>
  <c r="U211" i="44" s="1"/>
  <c r="J216" i="44"/>
  <c r="V211" i="44" s="1"/>
  <c r="K216" i="44"/>
  <c r="W211" i="44" s="1"/>
  <c r="C217" i="44"/>
  <c r="D217" i="44"/>
  <c r="F217" i="44"/>
  <c r="G217" i="44"/>
  <c r="K217" i="44"/>
  <c r="L217" i="44"/>
  <c r="D218" i="44"/>
  <c r="P212" i="44" s="1"/>
  <c r="E218" i="44"/>
  <c r="Q212" i="44" s="1"/>
  <c r="I218" i="44"/>
  <c r="U212" i="44" s="1"/>
  <c r="J218" i="44"/>
  <c r="V212" i="44" s="1"/>
  <c r="L218" i="44"/>
  <c r="X212" i="44" s="1"/>
  <c r="D219" i="44"/>
  <c r="F219" i="44"/>
  <c r="G219" i="44"/>
  <c r="I219" i="44"/>
  <c r="L219" i="44"/>
  <c r="C220" i="44"/>
  <c r="O213" i="44" s="1"/>
  <c r="D220" i="44"/>
  <c r="P213" i="44" s="1"/>
  <c r="K220" i="44"/>
  <c r="W213" i="44" s="1"/>
  <c r="L220" i="44"/>
  <c r="X213" i="44" s="1"/>
  <c r="E221" i="44"/>
  <c r="G221" i="44"/>
  <c r="H221" i="44"/>
  <c r="I221" i="44"/>
  <c r="J221" i="44"/>
  <c r="D222" i="44"/>
  <c r="P214" i="44" s="1"/>
  <c r="E222" i="44"/>
  <c r="Q214" i="44" s="1"/>
  <c r="F222" i="44"/>
  <c r="R214" i="44" s="1"/>
  <c r="G222" i="44"/>
  <c r="S214" i="44" s="1"/>
  <c r="K222" i="44"/>
  <c r="W214" i="44" s="1"/>
  <c r="L222" i="44"/>
  <c r="X214" i="44" s="1"/>
  <c r="F223" i="44"/>
  <c r="H223" i="44"/>
  <c r="AN3" i="43"/>
  <c r="C4" i="43"/>
  <c r="D4" i="43"/>
  <c r="E4" i="43"/>
  <c r="F4" i="43"/>
  <c r="G4" i="43"/>
  <c r="H4" i="43"/>
  <c r="I4" i="43"/>
  <c r="J4" i="43"/>
  <c r="K4" i="43"/>
  <c r="L4" i="43"/>
  <c r="M4" i="43"/>
  <c r="N4" i="43"/>
  <c r="O4" i="43"/>
  <c r="P4" i="43"/>
  <c r="P9" i="43" s="1"/>
  <c r="Q4" i="43"/>
  <c r="R4" i="43"/>
  <c r="S4" i="43"/>
  <c r="T4" i="43"/>
  <c r="U4" i="43"/>
  <c r="V4" i="43"/>
  <c r="W4" i="43"/>
  <c r="X4" i="43"/>
  <c r="X9" i="43" s="1"/>
  <c r="Y4" i="43"/>
  <c r="Z4" i="43"/>
  <c r="AA4" i="43"/>
  <c r="AB4" i="43"/>
  <c r="AC4" i="43"/>
  <c r="AD4" i="43"/>
  <c r="AE4" i="43"/>
  <c r="AF4" i="43"/>
  <c r="AF9" i="43" s="1"/>
  <c r="AG4" i="43"/>
  <c r="AH4" i="43"/>
  <c r="AI4" i="43"/>
  <c r="AJ4" i="43"/>
  <c r="AK4" i="43"/>
  <c r="AL4" i="43"/>
  <c r="AN5" i="43"/>
  <c r="AO5" i="43"/>
  <c r="B6" i="43"/>
  <c r="B26" i="43" s="1"/>
  <c r="C6" i="43"/>
  <c r="D6" i="43"/>
  <c r="E6" i="43"/>
  <c r="F6" i="43"/>
  <c r="G6" i="43"/>
  <c r="H6" i="43"/>
  <c r="I6" i="43"/>
  <c r="J6" i="43"/>
  <c r="K6" i="43"/>
  <c r="L6" i="43"/>
  <c r="M6" i="43"/>
  <c r="N6" i="43"/>
  <c r="O6" i="43"/>
  <c r="P6" i="43"/>
  <c r="Q6" i="43"/>
  <c r="R6" i="43"/>
  <c r="S6" i="43"/>
  <c r="T6" i="43"/>
  <c r="U6" i="43"/>
  <c r="V6" i="43"/>
  <c r="W6" i="43"/>
  <c r="X6" i="43"/>
  <c r="Y6" i="43"/>
  <c r="Z6" i="43"/>
  <c r="AA6" i="43"/>
  <c r="AB6" i="43"/>
  <c r="AC6" i="43"/>
  <c r="AD6" i="43"/>
  <c r="AE6" i="43"/>
  <c r="AF6" i="43"/>
  <c r="AG6" i="43"/>
  <c r="AH6" i="43"/>
  <c r="AI6" i="43"/>
  <c r="AJ6" i="43"/>
  <c r="AK6" i="43"/>
  <c r="AL6" i="43"/>
  <c r="AN7" i="43"/>
  <c r="AO7" i="43"/>
  <c r="B8" i="43"/>
  <c r="B18" i="43" s="1"/>
  <c r="C8" i="43"/>
  <c r="D8" i="43"/>
  <c r="E8" i="43"/>
  <c r="F8" i="43"/>
  <c r="G8" i="43"/>
  <c r="H8" i="43"/>
  <c r="I8" i="43"/>
  <c r="J8" i="43"/>
  <c r="K8" i="43"/>
  <c r="L8" i="43"/>
  <c r="M8" i="43"/>
  <c r="N8" i="43"/>
  <c r="O8" i="43"/>
  <c r="P8" i="43"/>
  <c r="Q8" i="43"/>
  <c r="R8" i="43"/>
  <c r="S8" i="43"/>
  <c r="T8" i="43"/>
  <c r="U8" i="43"/>
  <c r="V8" i="43"/>
  <c r="W8" i="43"/>
  <c r="X8" i="43"/>
  <c r="Y8" i="43"/>
  <c r="Z8" i="43"/>
  <c r="AA8" i="43"/>
  <c r="AB8" i="43"/>
  <c r="AC8" i="43"/>
  <c r="AD8" i="43"/>
  <c r="AE8" i="43"/>
  <c r="AF8" i="43"/>
  <c r="AG8" i="43"/>
  <c r="AH8" i="43"/>
  <c r="AI8" i="43"/>
  <c r="AJ8" i="43"/>
  <c r="AK8" i="43"/>
  <c r="AL8" i="43"/>
  <c r="F9" i="43"/>
  <c r="B13" i="43"/>
  <c r="AN13" i="43"/>
  <c r="B14" i="43"/>
  <c r="B15" i="43"/>
  <c r="AN15" i="43"/>
  <c r="B17" i="43"/>
  <c r="AN17" i="43"/>
  <c r="A22" i="43"/>
  <c r="N22" i="43" s="1"/>
  <c r="B22" i="43"/>
  <c r="B71" i="43" s="1"/>
  <c r="B122" i="43" s="1"/>
  <c r="B185" i="43" s="1"/>
  <c r="B208" i="43" s="1"/>
  <c r="C22" i="43"/>
  <c r="O22" i="43" s="1"/>
  <c r="D22" i="43"/>
  <c r="P22" i="43" s="1"/>
  <c r="E22" i="43"/>
  <c r="Q22" i="43" s="1"/>
  <c r="F22" i="43"/>
  <c r="G22" i="43"/>
  <c r="H22" i="43"/>
  <c r="I22" i="43"/>
  <c r="J22" i="43"/>
  <c r="V22" i="43" s="1"/>
  <c r="K22" i="43"/>
  <c r="L22" i="43"/>
  <c r="X22" i="43" s="1"/>
  <c r="R22" i="43"/>
  <c r="S22" i="43"/>
  <c r="T22" i="43"/>
  <c r="U22" i="43"/>
  <c r="W22" i="43"/>
  <c r="B23" i="43"/>
  <c r="C23" i="43"/>
  <c r="D23" i="43"/>
  <c r="E23" i="43"/>
  <c r="F23" i="43"/>
  <c r="G23" i="43"/>
  <c r="H23" i="43"/>
  <c r="I23" i="43"/>
  <c r="J23" i="43"/>
  <c r="K23" i="43"/>
  <c r="L23" i="43"/>
  <c r="P23" i="43"/>
  <c r="S23" i="43"/>
  <c r="S25" i="43" s="1"/>
  <c r="T23" i="43"/>
  <c r="T25" i="43" s="1"/>
  <c r="X23" i="43"/>
  <c r="X25" i="43" s="1"/>
  <c r="B24" i="43"/>
  <c r="C24" i="43"/>
  <c r="D24" i="43"/>
  <c r="E24" i="43"/>
  <c r="F24" i="43"/>
  <c r="G24" i="43"/>
  <c r="H24" i="43"/>
  <c r="I24" i="43"/>
  <c r="J24" i="43"/>
  <c r="K24" i="43"/>
  <c r="L24" i="43"/>
  <c r="O24" i="43"/>
  <c r="P24" i="43"/>
  <c r="P25" i="43" s="1"/>
  <c r="W24" i="43"/>
  <c r="B25" i="43"/>
  <c r="C25" i="43"/>
  <c r="D25" i="43"/>
  <c r="E25" i="43"/>
  <c r="F25" i="43"/>
  <c r="G25" i="43"/>
  <c r="H25" i="43"/>
  <c r="I25" i="43"/>
  <c r="J25" i="43"/>
  <c r="K25" i="43"/>
  <c r="L25" i="43"/>
  <c r="Q25" i="43"/>
  <c r="C26" i="43"/>
  <c r="O23" i="43" s="1"/>
  <c r="O25" i="43" s="1"/>
  <c r="D26" i="43"/>
  <c r="E26" i="43"/>
  <c r="Q23" i="43" s="1"/>
  <c r="F26" i="43"/>
  <c r="R23" i="43" s="1"/>
  <c r="R25" i="43" s="1"/>
  <c r="G26" i="43"/>
  <c r="H26" i="43"/>
  <c r="I26" i="43"/>
  <c r="U23" i="43" s="1"/>
  <c r="J26" i="43"/>
  <c r="V23" i="43" s="1"/>
  <c r="K26" i="43"/>
  <c r="W23" i="43" s="1"/>
  <c r="W25" i="43" s="1"/>
  <c r="L26" i="43"/>
  <c r="B27" i="43"/>
  <c r="C27" i="43"/>
  <c r="D27" i="43"/>
  <c r="E27" i="43"/>
  <c r="F27" i="43"/>
  <c r="G27" i="43"/>
  <c r="H27" i="43"/>
  <c r="I27" i="43"/>
  <c r="J27" i="43"/>
  <c r="K27" i="43"/>
  <c r="L27" i="43"/>
  <c r="B28" i="43"/>
  <c r="C28" i="43"/>
  <c r="D28" i="43"/>
  <c r="E28" i="43"/>
  <c r="Q24" i="43" s="1"/>
  <c r="F28" i="43"/>
  <c r="R24" i="43" s="1"/>
  <c r="G28" i="43"/>
  <c r="S24" i="43" s="1"/>
  <c r="H28" i="43"/>
  <c r="T24" i="43" s="1"/>
  <c r="I28" i="43"/>
  <c r="U24" i="43" s="1"/>
  <c r="J28" i="43"/>
  <c r="V24" i="43" s="1"/>
  <c r="K28" i="43"/>
  <c r="L28" i="43"/>
  <c r="X24" i="43" s="1"/>
  <c r="B30" i="43"/>
  <c r="B31" i="43"/>
  <c r="C31" i="43"/>
  <c r="D31" i="43"/>
  <c r="E31" i="43"/>
  <c r="E90" i="43" s="1"/>
  <c r="F31" i="43"/>
  <c r="F90" i="43" s="1"/>
  <c r="F137" i="43" s="1"/>
  <c r="G31" i="43"/>
  <c r="H31" i="43"/>
  <c r="H90" i="43" s="1"/>
  <c r="H137" i="43" s="1"/>
  <c r="I31" i="43"/>
  <c r="J31" i="43"/>
  <c r="K31" i="43"/>
  <c r="L31" i="43"/>
  <c r="M31" i="43"/>
  <c r="M90" i="43" s="1"/>
  <c r="N31" i="43"/>
  <c r="N90" i="43" s="1"/>
  <c r="N137" i="43" s="1"/>
  <c r="O31" i="43"/>
  <c r="P31" i="43"/>
  <c r="Q31" i="43"/>
  <c r="R31" i="43"/>
  <c r="S31" i="43"/>
  <c r="T31" i="43"/>
  <c r="U31" i="43"/>
  <c r="U90" i="43" s="1"/>
  <c r="V31" i="43"/>
  <c r="V90" i="43" s="1"/>
  <c r="V137" i="43" s="1"/>
  <c r="W31" i="43"/>
  <c r="X31" i="43"/>
  <c r="X90" i="43" s="1"/>
  <c r="X137" i="43" s="1"/>
  <c r="Y31" i="43"/>
  <c r="Z31" i="43"/>
  <c r="AA31" i="43"/>
  <c r="AB31" i="43"/>
  <c r="AC31" i="43"/>
  <c r="AC90" i="43" s="1"/>
  <c r="AD31" i="43"/>
  <c r="AE31" i="43"/>
  <c r="AF31" i="43"/>
  <c r="AF90" i="43" s="1"/>
  <c r="AF137" i="43" s="1"/>
  <c r="AG31" i="43"/>
  <c r="AH31" i="43"/>
  <c r="AI31" i="43"/>
  <c r="AJ31" i="43"/>
  <c r="AK31" i="43"/>
  <c r="AK90" i="43" s="1"/>
  <c r="AL31" i="43"/>
  <c r="AL90" i="43" s="1"/>
  <c r="AL137" i="43" s="1"/>
  <c r="AM31" i="43"/>
  <c r="C32" i="43"/>
  <c r="D32" i="43"/>
  <c r="E32" i="43"/>
  <c r="F32" i="43"/>
  <c r="G32" i="43"/>
  <c r="H32" i="43"/>
  <c r="I32" i="43"/>
  <c r="J32" i="43"/>
  <c r="K32" i="43"/>
  <c r="L32" i="43"/>
  <c r="M32" i="43"/>
  <c r="N32" i="43"/>
  <c r="O32" i="43"/>
  <c r="P32" i="43"/>
  <c r="Q32" i="43"/>
  <c r="R32" i="43"/>
  <c r="S32" i="43"/>
  <c r="T32" i="43"/>
  <c r="U32" i="43"/>
  <c r="V32" i="43"/>
  <c r="W32" i="43"/>
  <c r="X32" i="43"/>
  <c r="Y32" i="43"/>
  <c r="Z32" i="43"/>
  <c r="AA32" i="43"/>
  <c r="AB32" i="43"/>
  <c r="AC32" i="43"/>
  <c r="AD32" i="43"/>
  <c r="AE32" i="43"/>
  <c r="AF32" i="43"/>
  <c r="AG32" i="43"/>
  <c r="AH32" i="43"/>
  <c r="AI32" i="43"/>
  <c r="AJ32" i="43"/>
  <c r="AK32" i="43"/>
  <c r="AL32" i="43"/>
  <c r="AN32" i="43"/>
  <c r="AN34" i="43"/>
  <c r="AN36" i="43"/>
  <c r="AN38" i="43"/>
  <c r="AN40" i="43"/>
  <c r="AN42" i="43"/>
  <c r="AN44" i="43"/>
  <c r="AN46" i="43"/>
  <c r="C50" i="43"/>
  <c r="D50" i="43"/>
  <c r="E50" i="43"/>
  <c r="F50" i="43"/>
  <c r="G50" i="43"/>
  <c r="H50" i="43"/>
  <c r="I50" i="43"/>
  <c r="J50" i="43"/>
  <c r="K50" i="43"/>
  <c r="L50" i="43"/>
  <c r="M50" i="43"/>
  <c r="N50" i="43"/>
  <c r="O50" i="43"/>
  <c r="P50" i="43"/>
  <c r="Q50" i="43"/>
  <c r="R50" i="43"/>
  <c r="S50" i="43"/>
  <c r="T50" i="43"/>
  <c r="U50" i="43"/>
  <c r="V50" i="43"/>
  <c r="W50" i="43"/>
  <c r="X50" i="43"/>
  <c r="Y50" i="43"/>
  <c r="Z50" i="43"/>
  <c r="AA50" i="43"/>
  <c r="AB50" i="43"/>
  <c r="AC50" i="43"/>
  <c r="AD50" i="43"/>
  <c r="AE50" i="43"/>
  <c r="AF50" i="43"/>
  <c r="AG50" i="43"/>
  <c r="AH50" i="43"/>
  <c r="AI50" i="43"/>
  <c r="AJ50" i="43"/>
  <c r="AK50" i="43"/>
  <c r="AL50" i="43"/>
  <c r="AN52" i="43"/>
  <c r="AN54" i="43"/>
  <c r="AN56" i="43"/>
  <c r="AN58" i="43"/>
  <c r="AN60" i="43"/>
  <c r="AN62" i="43"/>
  <c r="AN64" i="43"/>
  <c r="AN66" i="43"/>
  <c r="AN68" i="43"/>
  <c r="A71" i="43"/>
  <c r="N71" i="43" s="1"/>
  <c r="C71" i="43"/>
  <c r="D71" i="43"/>
  <c r="P71" i="43" s="1"/>
  <c r="E71" i="43"/>
  <c r="Q71" i="43" s="1"/>
  <c r="F71" i="43"/>
  <c r="G71" i="43"/>
  <c r="H71" i="43"/>
  <c r="I71" i="43"/>
  <c r="J71" i="43"/>
  <c r="V71" i="43" s="1"/>
  <c r="K71" i="43"/>
  <c r="L71" i="43"/>
  <c r="X71" i="43" s="1"/>
  <c r="O71" i="43"/>
  <c r="R71" i="43"/>
  <c r="S71" i="43"/>
  <c r="T71" i="43"/>
  <c r="U71" i="43"/>
  <c r="W71" i="43"/>
  <c r="C72" i="43"/>
  <c r="D72" i="43"/>
  <c r="E72" i="43"/>
  <c r="F72" i="43"/>
  <c r="G72" i="43"/>
  <c r="H72" i="43"/>
  <c r="I72" i="43"/>
  <c r="J72" i="43"/>
  <c r="K72" i="43"/>
  <c r="L72" i="43"/>
  <c r="P72" i="43"/>
  <c r="V72" i="43"/>
  <c r="W72" i="43"/>
  <c r="X72" i="43"/>
  <c r="C73" i="43"/>
  <c r="D73" i="43"/>
  <c r="E73" i="43"/>
  <c r="F73" i="43"/>
  <c r="G73" i="43"/>
  <c r="H73" i="43"/>
  <c r="I73" i="43"/>
  <c r="J73" i="43"/>
  <c r="K73" i="43"/>
  <c r="L73" i="43"/>
  <c r="Q73" i="43"/>
  <c r="U73" i="43"/>
  <c r="W73" i="43"/>
  <c r="C74" i="43"/>
  <c r="D74" i="43"/>
  <c r="E74" i="43"/>
  <c r="F74" i="43"/>
  <c r="G74" i="43"/>
  <c r="H74" i="43"/>
  <c r="I74" i="43"/>
  <c r="J74" i="43"/>
  <c r="K74" i="43"/>
  <c r="L74" i="43"/>
  <c r="O74" i="43"/>
  <c r="P74" i="43"/>
  <c r="R74" i="43"/>
  <c r="V74" i="43"/>
  <c r="W74" i="43"/>
  <c r="X74" i="43"/>
  <c r="C75" i="43"/>
  <c r="O72" i="43" s="1"/>
  <c r="D75" i="43"/>
  <c r="E75" i="43"/>
  <c r="Q72" i="43" s="1"/>
  <c r="F75" i="43"/>
  <c r="R72" i="43" s="1"/>
  <c r="G75" i="43"/>
  <c r="S72" i="43" s="1"/>
  <c r="H75" i="43"/>
  <c r="T72" i="43" s="1"/>
  <c r="I75" i="43"/>
  <c r="U72" i="43" s="1"/>
  <c r="J75" i="43"/>
  <c r="K75" i="43"/>
  <c r="L75" i="43"/>
  <c r="P75" i="43"/>
  <c r="Q75" i="43"/>
  <c r="S75" i="43"/>
  <c r="U75" i="43"/>
  <c r="X75" i="43"/>
  <c r="C76" i="43"/>
  <c r="D76" i="43"/>
  <c r="E76" i="43"/>
  <c r="F76" i="43"/>
  <c r="G76" i="43"/>
  <c r="H76" i="43"/>
  <c r="I76" i="43"/>
  <c r="J76" i="43"/>
  <c r="K76" i="43"/>
  <c r="L76" i="43"/>
  <c r="Q76" i="43"/>
  <c r="R76" i="43"/>
  <c r="S76" i="43"/>
  <c r="U76" i="43"/>
  <c r="C77" i="43"/>
  <c r="O73" i="43" s="1"/>
  <c r="D77" i="43"/>
  <c r="P73" i="43" s="1"/>
  <c r="E77" i="43"/>
  <c r="F77" i="43"/>
  <c r="R73" i="43" s="1"/>
  <c r="G77" i="43"/>
  <c r="S73" i="43" s="1"/>
  <c r="H77" i="43"/>
  <c r="T73" i="43" s="1"/>
  <c r="I77" i="43"/>
  <c r="J77" i="43"/>
  <c r="V73" i="43" s="1"/>
  <c r="K77" i="43"/>
  <c r="L77" i="43"/>
  <c r="X73" i="43" s="1"/>
  <c r="S77" i="43"/>
  <c r="V77" i="43"/>
  <c r="C78" i="43"/>
  <c r="D78" i="43"/>
  <c r="E78" i="43"/>
  <c r="F78" i="43"/>
  <c r="G78" i="43"/>
  <c r="H78" i="43"/>
  <c r="I78" i="43"/>
  <c r="J78" i="43"/>
  <c r="K78" i="43"/>
  <c r="L78" i="43"/>
  <c r="Q78" i="43"/>
  <c r="T78" i="43"/>
  <c r="U78" i="43"/>
  <c r="C79" i="43"/>
  <c r="D79" i="43"/>
  <c r="E79" i="43"/>
  <c r="Q74" i="43" s="1"/>
  <c r="F79" i="43"/>
  <c r="G79" i="43"/>
  <c r="S74" i="43" s="1"/>
  <c r="H79" i="43"/>
  <c r="T74" i="43" s="1"/>
  <c r="I79" i="43"/>
  <c r="U74" i="43" s="1"/>
  <c r="J79" i="43"/>
  <c r="K79" i="43"/>
  <c r="L79" i="43"/>
  <c r="C80" i="43"/>
  <c r="D80" i="43"/>
  <c r="E80" i="43"/>
  <c r="F80" i="43"/>
  <c r="G80" i="43"/>
  <c r="H80" i="43"/>
  <c r="I80" i="43"/>
  <c r="J80" i="43"/>
  <c r="K80" i="43"/>
  <c r="L80" i="43"/>
  <c r="C81" i="43"/>
  <c r="O75" i="43" s="1"/>
  <c r="D81" i="43"/>
  <c r="E81" i="43"/>
  <c r="F81" i="43"/>
  <c r="R75" i="43" s="1"/>
  <c r="G81" i="43"/>
  <c r="H81" i="43"/>
  <c r="T75" i="43" s="1"/>
  <c r="I81" i="43"/>
  <c r="J81" i="43"/>
  <c r="V75" i="43" s="1"/>
  <c r="K81" i="43"/>
  <c r="W75" i="43" s="1"/>
  <c r="L81" i="43"/>
  <c r="C82" i="43"/>
  <c r="D82" i="43"/>
  <c r="E82" i="43"/>
  <c r="F82" i="43"/>
  <c r="G82" i="43"/>
  <c r="H82" i="43"/>
  <c r="I82" i="43"/>
  <c r="J82" i="43"/>
  <c r="K82" i="43"/>
  <c r="L82" i="43"/>
  <c r="C83" i="43"/>
  <c r="O76" i="43" s="1"/>
  <c r="D83" i="43"/>
  <c r="P76" i="43" s="1"/>
  <c r="E83" i="43"/>
  <c r="F83" i="43"/>
  <c r="G83" i="43"/>
  <c r="H83" i="43"/>
  <c r="T76" i="43" s="1"/>
  <c r="I83" i="43"/>
  <c r="J83" i="43"/>
  <c r="V76" i="43" s="1"/>
  <c r="K83" i="43"/>
  <c r="W76" i="43" s="1"/>
  <c r="L83" i="43"/>
  <c r="X76" i="43" s="1"/>
  <c r="C84" i="43"/>
  <c r="D84" i="43"/>
  <c r="E84" i="43"/>
  <c r="F84" i="43"/>
  <c r="G84" i="43"/>
  <c r="H84" i="43"/>
  <c r="I84" i="43"/>
  <c r="J84" i="43"/>
  <c r="K84" i="43"/>
  <c r="L84" i="43"/>
  <c r="C85" i="43"/>
  <c r="O77" i="43" s="1"/>
  <c r="D85" i="43"/>
  <c r="P77" i="43" s="1"/>
  <c r="E85" i="43"/>
  <c r="Q77" i="43" s="1"/>
  <c r="F85" i="43"/>
  <c r="R77" i="43" s="1"/>
  <c r="G85" i="43"/>
  <c r="H85" i="43"/>
  <c r="T77" i="43" s="1"/>
  <c r="I85" i="43"/>
  <c r="U77" i="43" s="1"/>
  <c r="J85" i="43"/>
  <c r="K85" i="43"/>
  <c r="W77" i="43" s="1"/>
  <c r="L85" i="43"/>
  <c r="X77" i="43" s="1"/>
  <c r="C86" i="43"/>
  <c r="D86" i="43"/>
  <c r="E86" i="43"/>
  <c r="F86" i="43"/>
  <c r="G86" i="43"/>
  <c r="H86" i="43"/>
  <c r="I86" i="43"/>
  <c r="J86" i="43"/>
  <c r="K86" i="43"/>
  <c r="L86" i="43"/>
  <c r="C87" i="43"/>
  <c r="O78" i="43" s="1"/>
  <c r="D87" i="43"/>
  <c r="P78" i="43" s="1"/>
  <c r="E87" i="43"/>
  <c r="F87" i="43"/>
  <c r="R78" i="43" s="1"/>
  <c r="G87" i="43"/>
  <c r="S78" i="43" s="1"/>
  <c r="H87" i="43"/>
  <c r="I87" i="43"/>
  <c r="J87" i="43"/>
  <c r="V78" i="43" s="1"/>
  <c r="K87" i="43"/>
  <c r="W78" i="43" s="1"/>
  <c r="L87" i="43"/>
  <c r="X78" i="43" s="1"/>
  <c r="B89" i="43"/>
  <c r="B90" i="43"/>
  <c r="B137" i="43" s="1"/>
  <c r="C90" i="43"/>
  <c r="D90" i="43"/>
  <c r="G90" i="43"/>
  <c r="G137" i="43" s="1"/>
  <c r="I90" i="43"/>
  <c r="J90" i="43"/>
  <c r="J137" i="43" s="1"/>
  <c r="K90" i="43"/>
  <c r="L90" i="43"/>
  <c r="O90" i="43"/>
  <c r="P90" i="43"/>
  <c r="P137" i="43" s="1"/>
  <c r="Q90" i="43"/>
  <c r="R90" i="43"/>
  <c r="R137" i="43" s="1"/>
  <c r="S90" i="43"/>
  <c r="T90" i="43"/>
  <c r="W90" i="43"/>
  <c r="Y90" i="43"/>
  <c r="Z90" i="43"/>
  <c r="Z137" i="43" s="1"/>
  <c r="AA90" i="43"/>
  <c r="AB90" i="43"/>
  <c r="AD90" i="43"/>
  <c r="AD137" i="43" s="1"/>
  <c r="AE90" i="43"/>
  <c r="AG90" i="43"/>
  <c r="AH90" i="43"/>
  <c r="AH137" i="43" s="1"/>
  <c r="AI90" i="43"/>
  <c r="AJ90" i="43"/>
  <c r="AM90" i="43"/>
  <c r="C91" i="43"/>
  <c r="AN91" i="43" s="1"/>
  <c r="D91" i="43"/>
  <c r="E91" i="43"/>
  <c r="F91" i="43"/>
  <c r="G91" i="43"/>
  <c r="H91" i="43"/>
  <c r="I91" i="43"/>
  <c r="J91" i="43"/>
  <c r="K91" i="43"/>
  <c r="L91" i="43"/>
  <c r="M91" i="43"/>
  <c r="N91" i="43"/>
  <c r="O91" i="43"/>
  <c r="P91" i="43"/>
  <c r="Q91" i="43"/>
  <c r="R91" i="43"/>
  <c r="S91" i="43"/>
  <c r="T91" i="43"/>
  <c r="U91" i="43"/>
  <c r="V91" i="43"/>
  <c r="W91" i="43"/>
  <c r="X91" i="43"/>
  <c r="Y91" i="43"/>
  <c r="Z91" i="43"/>
  <c r="AA91" i="43"/>
  <c r="AB91" i="43"/>
  <c r="AC91" i="43"/>
  <c r="AD91" i="43"/>
  <c r="AE91" i="43"/>
  <c r="AF91" i="43"/>
  <c r="AG91" i="43"/>
  <c r="AH91" i="43"/>
  <c r="AI91" i="43"/>
  <c r="AJ91" i="43"/>
  <c r="AK91" i="43"/>
  <c r="AL91" i="43"/>
  <c r="AN93" i="43"/>
  <c r="AN95" i="43"/>
  <c r="AN97" i="43"/>
  <c r="AN99" i="43"/>
  <c r="AN101" i="43"/>
  <c r="AN107" i="43"/>
  <c r="AN109" i="43"/>
  <c r="AN111" i="43"/>
  <c r="AN113" i="43"/>
  <c r="AN115" i="43"/>
  <c r="AN117" i="43"/>
  <c r="AN119" i="43"/>
  <c r="A122" i="43"/>
  <c r="C122" i="43"/>
  <c r="O122" i="43" s="1"/>
  <c r="D122" i="43"/>
  <c r="P122" i="43" s="1"/>
  <c r="E122" i="43"/>
  <c r="Q122" i="43" s="1"/>
  <c r="F122" i="43"/>
  <c r="G122" i="43"/>
  <c r="S122" i="43" s="1"/>
  <c r="H122" i="43"/>
  <c r="I122" i="43"/>
  <c r="J122" i="43"/>
  <c r="K122" i="43"/>
  <c r="W122" i="43" s="1"/>
  <c r="L122" i="43"/>
  <c r="N122" i="43"/>
  <c r="R122" i="43"/>
  <c r="T122" i="43"/>
  <c r="U122" i="43"/>
  <c r="V122" i="43"/>
  <c r="X122" i="43"/>
  <c r="C123" i="43"/>
  <c r="D123" i="43"/>
  <c r="E123" i="43"/>
  <c r="F123" i="43"/>
  <c r="G123" i="43"/>
  <c r="H123" i="43"/>
  <c r="I123" i="43"/>
  <c r="J123" i="43"/>
  <c r="K123" i="43"/>
  <c r="L123" i="43"/>
  <c r="U123" i="43"/>
  <c r="C124" i="43"/>
  <c r="D124" i="43"/>
  <c r="E124" i="43"/>
  <c r="F124" i="43"/>
  <c r="G124" i="43"/>
  <c r="H124" i="43"/>
  <c r="I124" i="43"/>
  <c r="J124" i="43"/>
  <c r="K124" i="43"/>
  <c r="L124" i="43"/>
  <c r="O124" i="43"/>
  <c r="Q124" i="43"/>
  <c r="S124" i="43"/>
  <c r="U124" i="43"/>
  <c r="W124" i="43"/>
  <c r="C125" i="43"/>
  <c r="D125" i="43"/>
  <c r="E125" i="43"/>
  <c r="F125" i="43"/>
  <c r="G125" i="43"/>
  <c r="H125" i="43"/>
  <c r="I125" i="43"/>
  <c r="J125" i="43"/>
  <c r="K125" i="43"/>
  <c r="L125" i="43"/>
  <c r="P125" i="43"/>
  <c r="T125" i="43"/>
  <c r="V125" i="43"/>
  <c r="X125" i="43"/>
  <c r="C126" i="43"/>
  <c r="O123" i="43" s="1"/>
  <c r="D126" i="43"/>
  <c r="P123" i="43" s="1"/>
  <c r="E126" i="43"/>
  <c r="Q123" i="43" s="1"/>
  <c r="F126" i="43"/>
  <c r="R123" i="43" s="1"/>
  <c r="G126" i="43"/>
  <c r="S123" i="43" s="1"/>
  <c r="H126" i="43"/>
  <c r="T123" i="43" s="1"/>
  <c r="I126" i="43"/>
  <c r="J126" i="43"/>
  <c r="V123" i="43" s="1"/>
  <c r="K126" i="43"/>
  <c r="W123" i="43" s="1"/>
  <c r="L126" i="43"/>
  <c r="X123" i="43" s="1"/>
  <c r="X126" i="43"/>
  <c r="C127" i="43"/>
  <c r="D127" i="43"/>
  <c r="E127" i="43"/>
  <c r="F127" i="43"/>
  <c r="G127" i="43"/>
  <c r="H127" i="43"/>
  <c r="I127" i="43"/>
  <c r="J127" i="43"/>
  <c r="K127" i="43"/>
  <c r="L127" i="43"/>
  <c r="O127" i="43"/>
  <c r="T127" i="43"/>
  <c r="U127" i="43"/>
  <c r="C128" i="43"/>
  <c r="D128" i="43"/>
  <c r="P124" i="43" s="1"/>
  <c r="E128" i="43"/>
  <c r="F128" i="43"/>
  <c r="R124" i="43" s="1"/>
  <c r="G128" i="43"/>
  <c r="H128" i="43"/>
  <c r="T124" i="43" s="1"/>
  <c r="I128" i="43"/>
  <c r="J128" i="43"/>
  <c r="V124" i="43" s="1"/>
  <c r="K128" i="43"/>
  <c r="L128" i="43"/>
  <c r="X124" i="43" s="1"/>
  <c r="C129" i="43"/>
  <c r="D129" i="43"/>
  <c r="E129" i="43"/>
  <c r="F129" i="43"/>
  <c r="G129" i="43"/>
  <c r="H129" i="43"/>
  <c r="I129" i="43"/>
  <c r="J129" i="43"/>
  <c r="K129" i="43"/>
  <c r="L129" i="43"/>
  <c r="C130" i="43"/>
  <c r="O125" i="43" s="1"/>
  <c r="D130" i="43"/>
  <c r="E130" i="43"/>
  <c r="Q125" i="43" s="1"/>
  <c r="F130" i="43"/>
  <c r="R125" i="43" s="1"/>
  <c r="G130" i="43"/>
  <c r="S125" i="43" s="1"/>
  <c r="H130" i="43"/>
  <c r="I130" i="43"/>
  <c r="U125" i="43" s="1"/>
  <c r="J130" i="43"/>
  <c r="K130" i="43"/>
  <c r="W125" i="43" s="1"/>
  <c r="L130" i="43"/>
  <c r="C131" i="43"/>
  <c r="D131" i="43"/>
  <c r="E131" i="43"/>
  <c r="F131" i="43"/>
  <c r="G131" i="43"/>
  <c r="H131" i="43"/>
  <c r="I131" i="43"/>
  <c r="J131" i="43"/>
  <c r="K131" i="43"/>
  <c r="L131" i="43"/>
  <c r="C132" i="43"/>
  <c r="O126" i="43" s="1"/>
  <c r="D132" i="43"/>
  <c r="P126" i="43" s="1"/>
  <c r="E132" i="43"/>
  <c r="Q126" i="43" s="1"/>
  <c r="F132" i="43"/>
  <c r="R126" i="43" s="1"/>
  <c r="G132" i="43"/>
  <c r="S126" i="43" s="1"/>
  <c r="H132" i="43"/>
  <c r="T126" i="43" s="1"/>
  <c r="I132" i="43"/>
  <c r="U126" i="43" s="1"/>
  <c r="J132" i="43"/>
  <c r="V126" i="43" s="1"/>
  <c r="K132" i="43"/>
  <c r="W126" i="43" s="1"/>
  <c r="L132" i="43"/>
  <c r="C133" i="43"/>
  <c r="D133" i="43"/>
  <c r="E133" i="43"/>
  <c r="F133" i="43"/>
  <c r="G133" i="43"/>
  <c r="H133" i="43"/>
  <c r="I133" i="43"/>
  <c r="J133" i="43"/>
  <c r="K133" i="43"/>
  <c r="L133" i="43"/>
  <c r="C134" i="43"/>
  <c r="D134" i="43"/>
  <c r="P127" i="43" s="1"/>
  <c r="E134" i="43"/>
  <c r="Q127" i="43" s="1"/>
  <c r="F134" i="43"/>
  <c r="R127" i="43" s="1"/>
  <c r="G134" i="43"/>
  <c r="S127" i="43" s="1"/>
  <c r="H134" i="43"/>
  <c r="I134" i="43"/>
  <c r="J134" i="43"/>
  <c r="V127" i="43" s="1"/>
  <c r="K134" i="43"/>
  <c r="W127" i="43" s="1"/>
  <c r="L134" i="43"/>
  <c r="X127" i="43" s="1"/>
  <c r="B136" i="43"/>
  <c r="C137" i="43"/>
  <c r="D137" i="43"/>
  <c r="E137" i="43"/>
  <c r="I137" i="43"/>
  <c r="K137" i="43"/>
  <c r="L137" i="43"/>
  <c r="M137" i="43"/>
  <c r="O137" i="43"/>
  <c r="Q137" i="43"/>
  <c r="S137" i="43"/>
  <c r="T137" i="43"/>
  <c r="U137" i="43"/>
  <c r="W137" i="43"/>
  <c r="Y137" i="43"/>
  <c r="AA137" i="43"/>
  <c r="AB137" i="43"/>
  <c r="AC137" i="43"/>
  <c r="AE137" i="43"/>
  <c r="AG137" i="43"/>
  <c r="AI137" i="43"/>
  <c r="AJ137" i="43"/>
  <c r="AK137" i="43"/>
  <c r="AM137" i="43"/>
  <c r="B138" i="43"/>
  <c r="AL139" i="43" s="1"/>
  <c r="C138" i="43"/>
  <c r="D138" i="43"/>
  <c r="E138" i="43"/>
  <c r="F138" i="43"/>
  <c r="G138" i="43"/>
  <c r="H138" i="43"/>
  <c r="I138" i="43"/>
  <c r="J138" i="43"/>
  <c r="K138" i="43"/>
  <c r="L138" i="43"/>
  <c r="M138" i="43"/>
  <c r="N138" i="43"/>
  <c r="O138" i="43"/>
  <c r="P138" i="43"/>
  <c r="Q138" i="43"/>
  <c r="R138" i="43"/>
  <c r="R139" i="43" s="1"/>
  <c r="S138" i="43"/>
  <c r="T138" i="43"/>
  <c r="U138" i="43"/>
  <c r="V138" i="43"/>
  <c r="W138" i="43"/>
  <c r="X138" i="43"/>
  <c r="Y138" i="43"/>
  <c r="Z138" i="43"/>
  <c r="Z139" i="43" s="1"/>
  <c r="AA138" i="43"/>
  <c r="AB138" i="43"/>
  <c r="AC138" i="43"/>
  <c r="AD138" i="43"/>
  <c r="AE138" i="43"/>
  <c r="AF138" i="43"/>
  <c r="AG138" i="43"/>
  <c r="AH138" i="43"/>
  <c r="AH139" i="43" s="1"/>
  <c r="AI138" i="43"/>
  <c r="AJ138" i="43"/>
  <c r="AK138" i="43"/>
  <c r="AL138" i="43"/>
  <c r="B139" i="43"/>
  <c r="J139" i="43"/>
  <c r="AJ139" i="43"/>
  <c r="B140" i="43"/>
  <c r="Q141" i="43" s="1"/>
  <c r="AN140" i="43"/>
  <c r="E141" i="43"/>
  <c r="F141" i="43"/>
  <c r="I141" i="43"/>
  <c r="N141" i="43"/>
  <c r="S141" i="43"/>
  <c r="U141" i="43"/>
  <c r="V141" i="43"/>
  <c r="AA141" i="43"/>
  <c r="AD141" i="43"/>
  <c r="AE141" i="43"/>
  <c r="AI141" i="43"/>
  <c r="AK141" i="43"/>
  <c r="B142" i="43"/>
  <c r="AO142" i="43" s="1"/>
  <c r="AN142" i="43"/>
  <c r="D143" i="43"/>
  <c r="E143" i="43"/>
  <c r="F143" i="43"/>
  <c r="G143" i="43"/>
  <c r="H143" i="43"/>
  <c r="J143" i="43"/>
  <c r="L143" i="43"/>
  <c r="M143" i="43"/>
  <c r="N143" i="43"/>
  <c r="O143" i="43"/>
  <c r="P143" i="43"/>
  <c r="R143" i="43"/>
  <c r="T143" i="43"/>
  <c r="U143" i="43"/>
  <c r="V143" i="43"/>
  <c r="W143" i="43"/>
  <c r="X143" i="43"/>
  <c r="Z143" i="43"/>
  <c r="AB143" i="43"/>
  <c r="AC143" i="43"/>
  <c r="AD143" i="43"/>
  <c r="AE143" i="43"/>
  <c r="AF143" i="43"/>
  <c r="AH143" i="43"/>
  <c r="AJ143" i="43"/>
  <c r="AK143" i="43"/>
  <c r="AL143" i="43"/>
  <c r="B144" i="43"/>
  <c r="K145" i="43" s="1"/>
  <c r="AN144" i="43"/>
  <c r="AO144" i="43"/>
  <c r="L145" i="43"/>
  <c r="S145" i="43"/>
  <c r="U145" i="43"/>
  <c r="Y145" i="43"/>
  <c r="AE145" i="43"/>
  <c r="B146" i="43"/>
  <c r="AO146" i="43" s="1"/>
  <c r="AN146" i="43"/>
  <c r="D147" i="43"/>
  <c r="H147" i="43"/>
  <c r="L147" i="43"/>
  <c r="P147" i="43"/>
  <c r="T147" i="43"/>
  <c r="X147" i="43"/>
  <c r="AB147" i="43"/>
  <c r="AF147" i="43"/>
  <c r="AJ147" i="43"/>
  <c r="B148" i="43"/>
  <c r="AN148" i="43"/>
  <c r="C149" i="43"/>
  <c r="M149" i="43"/>
  <c r="Y149" i="43"/>
  <c r="AI149" i="43"/>
  <c r="B150" i="43"/>
  <c r="C151" i="43" s="1"/>
  <c r="AN150" i="43"/>
  <c r="D151" i="43"/>
  <c r="F151" i="43"/>
  <c r="G151" i="43"/>
  <c r="H151" i="43"/>
  <c r="L151" i="43"/>
  <c r="M151" i="43"/>
  <c r="N151" i="43"/>
  <c r="O151" i="43"/>
  <c r="P151" i="43"/>
  <c r="T151" i="43"/>
  <c r="U151" i="43"/>
  <c r="V151" i="43"/>
  <c r="W151" i="43"/>
  <c r="X151" i="43"/>
  <c r="AB151" i="43"/>
  <c r="AC151" i="43"/>
  <c r="AD151" i="43"/>
  <c r="AE151" i="43"/>
  <c r="AF151" i="43"/>
  <c r="AJ151" i="43"/>
  <c r="AK151" i="43"/>
  <c r="AL151" i="43"/>
  <c r="B152" i="43"/>
  <c r="F153" i="43" s="1"/>
  <c r="AN152" i="43"/>
  <c r="G153" i="43"/>
  <c r="H153" i="43"/>
  <c r="I153" i="43"/>
  <c r="K153" i="43"/>
  <c r="Q153" i="43"/>
  <c r="R153" i="43"/>
  <c r="U153" i="43"/>
  <c r="X153" i="43"/>
  <c r="AC153" i="43"/>
  <c r="AE153" i="43"/>
  <c r="AF153" i="43"/>
  <c r="AG153" i="43"/>
  <c r="AH153" i="43"/>
  <c r="B154" i="43"/>
  <c r="R155" i="43" s="1"/>
  <c r="AN154" i="43"/>
  <c r="D155" i="43"/>
  <c r="F155" i="43"/>
  <c r="L155" i="43"/>
  <c r="N155" i="43"/>
  <c r="O155" i="43"/>
  <c r="P155" i="43"/>
  <c r="X155" i="43"/>
  <c r="Z155" i="43"/>
  <c r="AB155" i="43"/>
  <c r="AD155" i="43"/>
  <c r="AE155" i="43"/>
  <c r="AL155" i="43"/>
  <c r="B156" i="43"/>
  <c r="AN156" i="43"/>
  <c r="AO156" i="43"/>
  <c r="F157" i="43"/>
  <c r="G157" i="43"/>
  <c r="I157" i="43"/>
  <c r="K157" i="43"/>
  <c r="M157" i="43"/>
  <c r="Q157" i="43"/>
  <c r="S157" i="43"/>
  <c r="U157" i="43"/>
  <c r="V157" i="43"/>
  <c r="W157" i="43"/>
  <c r="Y157" i="43"/>
  <c r="AA157" i="43"/>
  <c r="AD157" i="43"/>
  <c r="AE157" i="43"/>
  <c r="AG157" i="43"/>
  <c r="AI157" i="43"/>
  <c r="AK157" i="43"/>
  <c r="AL157" i="43"/>
  <c r="AO157" i="43"/>
  <c r="B162" i="43"/>
  <c r="AN162" i="43"/>
  <c r="B163" i="43"/>
  <c r="B164" i="43"/>
  <c r="AN164" i="43"/>
  <c r="B166" i="43"/>
  <c r="AN166" i="43"/>
  <c r="B168" i="43"/>
  <c r="AN168" i="43"/>
  <c r="B170" i="43"/>
  <c r="AN170" i="43"/>
  <c r="B172" i="43"/>
  <c r="AN172" i="43"/>
  <c r="B174" i="43"/>
  <c r="AN174" i="43"/>
  <c r="B176" i="43"/>
  <c r="AN176" i="43"/>
  <c r="B178" i="43"/>
  <c r="AN178" i="43"/>
  <c r="B180" i="43"/>
  <c r="AN180" i="43"/>
  <c r="AN182" i="43"/>
  <c r="A185" i="43"/>
  <c r="A208" i="43" s="1"/>
  <c r="N208" i="43" s="1"/>
  <c r="C185" i="43"/>
  <c r="D185" i="43"/>
  <c r="E185" i="43"/>
  <c r="E208" i="43" s="1"/>
  <c r="Q208" i="43" s="1"/>
  <c r="F185" i="43"/>
  <c r="G185" i="43"/>
  <c r="H185" i="43"/>
  <c r="I185" i="43"/>
  <c r="I208" i="43" s="1"/>
  <c r="U208" i="43" s="1"/>
  <c r="J185" i="43"/>
  <c r="K185" i="43"/>
  <c r="L185" i="43"/>
  <c r="C186" i="43"/>
  <c r="D186" i="43"/>
  <c r="E186" i="43"/>
  <c r="E209" i="43" s="1"/>
  <c r="F186" i="43"/>
  <c r="G186" i="43"/>
  <c r="G209" i="43" s="1"/>
  <c r="H186" i="43"/>
  <c r="I186" i="43"/>
  <c r="I209" i="43" s="1"/>
  <c r="J186" i="43"/>
  <c r="K186" i="43"/>
  <c r="L186" i="43"/>
  <c r="B187" i="43"/>
  <c r="C187" i="43"/>
  <c r="D187" i="43"/>
  <c r="E187" i="43"/>
  <c r="F187" i="43"/>
  <c r="G187" i="43"/>
  <c r="H187" i="43"/>
  <c r="I187" i="43"/>
  <c r="J187" i="43"/>
  <c r="K187" i="43"/>
  <c r="L187" i="43"/>
  <c r="B188" i="43"/>
  <c r="B211" i="43" s="1"/>
  <c r="C188" i="43"/>
  <c r="D188" i="43"/>
  <c r="E188" i="43"/>
  <c r="F188" i="43"/>
  <c r="F211" i="43" s="1"/>
  <c r="G188" i="43"/>
  <c r="H188" i="43"/>
  <c r="H211" i="43" s="1"/>
  <c r="I188" i="43"/>
  <c r="J188" i="43"/>
  <c r="J211" i="43" s="1"/>
  <c r="K188" i="43"/>
  <c r="L188" i="43"/>
  <c r="C189" i="43"/>
  <c r="C212" i="43" s="1"/>
  <c r="O209" i="43" s="1"/>
  <c r="D189" i="43"/>
  <c r="E189" i="43"/>
  <c r="F189" i="43"/>
  <c r="G189" i="43"/>
  <c r="H189" i="43"/>
  <c r="I189" i="43"/>
  <c r="J189" i="43"/>
  <c r="K189" i="43"/>
  <c r="K212" i="43" s="1"/>
  <c r="W209" i="43" s="1"/>
  <c r="L189" i="43"/>
  <c r="B190" i="43"/>
  <c r="C190" i="43"/>
  <c r="C223" i="43" s="1"/>
  <c r="D190" i="43"/>
  <c r="E190" i="43"/>
  <c r="F190" i="43"/>
  <c r="G190" i="43"/>
  <c r="G223" i="43" s="1"/>
  <c r="H190" i="43"/>
  <c r="I190" i="43"/>
  <c r="I223" i="43" s="1"/>
  <c r="J190" i="43"/>
  <c r="K190" i="43"/>
  <c r="K223" i="43" s="1"/>
  <c r="L190" i="43"/>
  <c r="C191" i="43"/>
  <c r="D191" i="43"/>
  <c r="E191" i="43"/>
  <c r="F191" i="43"/>
  <c r="G191" i="43"/>
  <c r="H191" i="43"/>
  <c r="I191" i="43"/>
  <c r="J191" i="43"/>
  <c r="K191" i="43"/>
  <c r="L191" i="43"/>
  <c r="B192" i="43"/>
  <c r="C192" i="43"/>
  <c r="D192" i="43"/>
  <c r="D213" i="43" s="1"/>
  <c r="E192" i="43"/>
  <c r="F192" i="43"/>
  <c r="G192" i="43"/>
  <c r="H192" i="43"/>
  <c r="H213" i="43" s="1"/>
  <c r="I192" i="43"/>
  <c r="J192" i="43"/>
  <c r="K192" i="43"/>
  <c r="L192" i="43"/>
  <c r="L213" i="43" s="1"/>
  <c r="C193" i="43"/>
  <c r="D193" i="43"/>
  <c r="E193" i="43"/>
  <c r="E214" i="43" s="1"/>
  <c r="Q210" i="43" s="1"/>
  <c r="F193" i="43"/>
  <c r="G193" i="43"/>
  <c r="G214" i="43" s="1"/>
  <c r="S210" i="43" s="1"/>
  <c r="H193" i="43"/>
  <c r="I193" i="43"/>
  <c r="I214" i="43" s="1"/>
  <c r="U210" i="43" s="1"/>
  <c r="J193" i="43"/>
  <c r="K193" i="43"/>
  <c r="L193" i="43"/>
  <c r="B194" i="43"/>
  <c r="C194" i="43"/>
  <c r="D194" i="43"/>
  <c r="E194" i="43"/>
  <c r="F194" i="43"/>
  <c r="G194" i="43"/>
  <c r="H194" i="43"/>
  <c r="I194" i="43"/>
  <c r="J194" i="43"/>
  <c r="K194" i="43"/>
  <c r="L194" i="43"/>
  <c r="C195" i="43"/>
  <c r="D195" i="43"/>
  <c r="E195" i="43"/>
  <c r="F195" i="43"/>
  <c r="F216" i="43" s="1"/>
  <c r="R211" i="43" s="1"/>
  <c r="G195" i="43"/>
  <c r="H195" i="43"/>
  <c r="H216" i="43" s="1"/>
  <c r="T211" i="43" s="1"/>
  <c r="I195" i="43"/>
  <c r="J195" i="43"/>
  <c r="J216" i="43" s="1"/>
  <c r="V211" i="43" s="1"/>
  <c r="K195" i="43"/>
  <c r="L195" i="43"/>
  <c r="B196" i="43"/>
  <c r="B217" i="43" s="1"/>
  <c r="C196" i="43"/>
  <c r="D196" i="43"/>
  <c r="D217" i="43" s="1"/>
  <c r="E196" i="43"/>
  <c r="F196" i="43"/>
  <c r="F217" i="43" s="1"/>
  <c r="G196" i="43"/>
  <c r="H196" i="43"/>
  <c r="I196" i="43"/>
  <c r="J196" i="43"/>
  <c r="J217" i="43" s="1"/>
  <c r="K196" i="43"/>
  <c r="L196" i="43"/>
  <c r="L217" i="43" s="1"/>
  <c r="C197" i="43"/>
  <c r="C218" i="43" s="1"/>
  <c r="O212" i="43" s="1"/>
  <c r="D197" i="43"/>
  <c r="E197" i="43"/>
  <c r="F197" i="43"/>
  <c r="G197" i="43"/>
  <c r="G218" i="43" s="1"/>
  <c r="S212" i="43" s="1"/>
  <c r="H197" i="43"/>
  <c r="I197" i="43"/>
  <c r="I218" i="43" s="1"/>
  <c r="U212" i="43" s="1"/>
  <c r="J197" i="43"/>
  <c r="K197" i="43"/>
  <c r="K218" i="43" s="1"/>
  <c r="W212" i="43" s="1"/>
  <c r="L197" i="43"/>
  <c r="B198" i="43"/>
  <c r="C198" i="43"/>
  <c r="D198" i="43"/>
  <c r="E198" i="43"/>
  <c r="E223" i="43" s="1"/>
  <c r="F198" i="43"/>
  <c r="G198" i="43"/>
  <c r="H198" i="43"/>
  <c r="I198" i="43"/>
  <c r="J198" i="43"/>
  <c r="K198" i="43"/>
  <c r="L198" i="43"/>
  <c r="C199" i="43"/>
  <c r="D199" i="43"/>
  <c r="E199" i="43"/>
  <c r="F199" i="43"/>
  <c r="G199" i="43"/>
  <c r="H199" i="43"/>
  <c r="I199" i="43"/>
  <c r="J199" i="43"/>
  <c r="K199" i="43"/>
  <c r="L199" i="43"/>
  <c r="B200" i="43"/>
  <c r="C200" i="43"/>
  <c r="D200" i="43"/>
  <c r="D219" i="43" s="1"/>
  <c r="E200" i="43"/>
  <c r="F200" i="43"/>
  <c r="F219" i="43" s="1"/>
  <c r="G200" i="43"/>
  <c r="H200" i="43"/>
  <c r="I200" i="43"/>
  <c r="J200" i="43"/>
  <c r="K200" i="43"/>
  <c r="L200" i="43"/>
  <c r="L219" i="43" s="1"/>
  <c r="C201" i="43"/>
  <c r="C220" i="43" s="1"/>
  <c r="O213" i="43" s="1"/>
  <c r="D201" i="43"/>
  <c r="E201" i="43"/>
  <c r="F201" i="43"/>
  <c r="G201" i="43"/>
  <c r="H201" i="43"/>
  <c r="I201" i="43"/>
  <c r="I220" i="43" s="1"/>
  <c r="U213" i="43" s="1"/>
  <c r="J201" i="43"/>
  <c r="K201" i="43"/>
  <c r="K220" i="43" s="1"/>
  <c r="W213" i="43" s="1"/>
  <c r="L201" i="43"/>
  <c r="B202" i="43"/>
  <c r="C202" i="43"/>
  <c r="D202" i="43"/>
  <c r="E202" i="43"/>
  <c r="E221" i="43" s="1"/>
  <c r="F202" i="43"/>
  <c r="G202" i="43"/>
  <c r="G221" i="43" s="1"/>
  <c r="H202" i="43"/>
  <c r="I202" i="43"/>
  <c r="J202" i="43"/>
  <c r="K202" i="43"/>
  <c r="L202" i="43"/>
  <c r="C203" i="43"/>
  <c r="D203" i="43"/>
  <c r="D222" i="43" s="1"/>
  <c r="P214" i="43" s="1"/>
  <c r="E203" i="43"/>
  <c r="F203" i="43"/>
  <c r="G203" i="43"/>
  <c r="H203" i="43"/>
  <c r="I203" i="43"/>
  <c r="J203" i="43"/>
  <c r="J222" i="43" s="1"/>
  <c r="V214" i="43" s="1"/>
  <c r="K203" i="43"/>
  <c r="L203" i="43"/>
  <c r="L222" i="43" s="1"/>
  <c r="X214" i="43" s="1"/>
  <c r="B204" i="43"/>
  <c r="C204" i="43"/>
  <c r="D204" i="43"/>
  <c r="E204" i="43"/>
  <c r="F204" i="43"/>
  <c r="F223" i="43" s="1"/>
  <c r="G204" i="43"/>
  <c r="H204" i="43"/>
  <c r="H223" i="43" s="1"/>
  <c r="I204" i="43"/>
  <c r="J204" i="43"/>
  <c r="K204" i="43"/>
  <c r="L204" i="43"/>
  <c r="C205" i="43"/>
  <c r="D205" i="43"/>
  <c r="E205" i="43"/>
  <c r="F205" i="43"/>
  <c r="G205" i="43"/>
  <c r="H205" i="43"/>
  <c r="I205" i="43"/>
  <c r="J205" i="43"/>
  <c r="K205" i="43"/>
  <c r="L205" i="43"/>
  <c r="C208" i="43"/>
  <c r="O208" i="43" s="1"/>
  <c r="D208" i="43"/>
  <c r="F208" i="43"/>
  <c r="G208" i="43"/>
  <c r="S208" i="43" s="1"/>
  <c r="H208" i="43"/>
  <c r="J208" i="43"/>
  <c r="K208" i="43"/>
  <c r="W208" i="43" s="1"/>
  <c r="L208" i="43"/>
  <c r="P208" i="43"/>
  <c r="R208" i="43"/>
  <c r="T208" i="43"/>
  <c r="V208" i="43"/>
  <c r="X208" i="43"/>
  <c r="C209" i="43"/>
  <c r="D209" i="43"/>
  <c r="F209" i="43"/>
  <c r="H209" i="43"/>
  <c r="J209" i="43"/>
  <c r="K209" i="43"/>
  <c r="L209" i="43"/>
  <c r="B210" i="43"/>
  <c r="C210" i="43"/>
  <c r="D210" i="43"/>
  <c r="E210" i="43"/>
  <c r="F210" i="43"/>
  <c r="G210" i="43"/>
  <c r="H210" i="43"/>
  <c r="I210" i="43"/>
  <c r="J210" i="43"/>
  <c r="K210" i="43"/>
  <c r="L210" i="43"/>
  <c r="O210" i="43"/>
  <c r="W210" i="43"/>
  <c r="C211" i="43"/>
  <c r="D211" i="43"/>
  <c r="E211" i="43"/>
  <c r="G211" i="43"/>
  <c r="I211" i="43"/>
  <c r="K211" i="43"/>
  <c r="L211" i="43"/>
  <c r="P211" i="43"/>
  <c r="X211" i="43"/>
  <c r="D212" i="43"/>
  <c r="P209" i="43" s="1"/>
  <c r="E212" i="43"/>
  <c r="Q209" i="43" s="1"/>
  <c r="F212" i="43"/>
  <c r="R209" i="43" s="1"/>
  <c r="G212" i="43"/>
  <c r="S209" i="43" s="1"/>
  <c r="H212" i="43"/>
  <c r="T209" i="43" s="1"/>
  <c r="I212" i="43"/>
  <c r="U209" i="43" s="1"/>
  <c r="J212" i="43"/>
  <c r="V209" i="43" s="1"/>
  <c r="L212" i="43"/>
  <c r="X209" i="43" s="1"/>
  <c r="R212" i="43"/>
  <c r="V212" i="43"/>
  <c r="B213" i="43"/>
  <c r="C213" i="43"/>
  <c r="E213" i="43"/>
  <c r="F213" i="43"/>
  <c r="G213" i="43"/>
  <c r="I213" i="43"/>
  <c r="J213" i="43"/>
  <c r="K213" i="43"/>
  <c r="S213" i="43"/>
  <c r="T213" i="43"/>
  <c r="C214" i="43"/>
  <c r="D214" i="43"/>
  <c r="P210" i="43" s="1"/>
  <c r="F214" i="43"/>
  <c r="R210" i="43" s="1"/>
  <c r="H214" i="43"/>
  <c r="T210" i="43" s="1"/>
  <c r="J214" i="43"/>
  <c r="V210" i="43" s="1"/>
  <c r="K214" i="43"/>
  <c r="L214" i="43"/>
  <c r="X210" i="43" s="1"/>
  <c r="Q214" i="43"/>
  <c r="S214" i="43"/>
  <c r="U214" i="43"/>
  <c r="B215" i="43"/>
  <c r="C215" i="43"/>
  <c r="D215" i="43"/>
  <c r="E215" i="43"/>
  <c r="F215" i="43"/>
  <c r="G215" i="43"/>
  <c r="H215" i="43"/>
  <c r="I215" i="43"/>
  <c r="J215" i="43"/>
  <c r="K215" i="43"/>
  <c r="L215" i="43"/>
  <c r="C216" i="43"/>
  <c r="O211" i="43" s="1"/>
  <c r="D216" i="43"/>
  <c r="E216" i="43"/>
  <c r="Q211" i="43" s="1"/>
  <c r="G216" i="43"/>
  <c r="S211" i="43" s="1"/>
  <c r="I216" i="43"/>
  <c r="U211" i="43" s="1"/>
  <c r="K216" i="43"/>
  <c r="W211" i="43" s="1"/>
  <c r="L216" i="43"/>
  <c r="C217" i="43"/>
  <c r="E217" i="43"/>
  <c r="G217" i="43"/>
  <c r="H217" i="43"/>
  <c r="I217" i="43"/>
  <c r="K217" i="43"/>
  <c r="D218" i="43"/>
  <c r="P212" i="43" s="1"/>
  <c r="E218" i="43"/>
  <c r="Q212" i="43" s="1"/>
  <c r="F218" i="43"/>
  <c r="H218" i="43"/>
  <c r="T212" i="43" s="1"/>
  <c r="J218" i="43"/>
  <c r="L218" i="43"/>
  <c r="X212" i="43" s="1"/>
  <c r="B219" i="43"/>
  <c r="C219" i="43"/>
  <c r="E219" i="43"/>
  <c r="G219" i="43"/>
  <c r="H219" i="43"/>
  <c r="I219" i="43"/>
  <c r="J219" i="43"/>
  <c r="K219" i="43"/>
  <c r="D220" i="43"/>
  <c r="P213" i="43" s="1"/>
  <c r="E220" i="43"/>
  <c r="Q213" i="43" s="1"/>
  <c r="F220" i="43"/>
  <c r="R213" i="43" s="1"/>
  <c r="G220" i="43"/>
  <c r="H220" i="43"/>
  <c r="J220" i="43"/>
  <c r="V213" i="43" s="1"/>
  <c r="L220" i="43"/>
  <c r="X213" i="43" s="1"/>
  <c r="B221" i="43"/>
  <c r="C221" i="43"/>
  <c r="D221" i="43"/>
  <c r="F221" i="43"/>
  <c r="H221" i="43"/>
  <c r="I221" i="43"/>
  <c r="J221" i="43"/>
  <c r="K221" i="43"/>
  <c r="L221" i="43"/>
  <c r="C222" i="43"/>
  <c r="O214" i="43" s="1"/>
  <c r="E222" i="43"/>
  <c r="F222" i="43"/>
  <c r="R214" i="43" s="1"/>
  <c r="G222" i="43"/>
  <c r="H222" i="43"/>
  <c r="T214" i="43" s="1"/>
  <c r="I222" i="43"/>
  <c r="K222" i="43"/>
  <c r="W214" i="43" s="1"/>
  <c r="B223" i="43"/>
  <c r="D223" i="43"/>
  <c r="J223" i="43"/>
  <c r="L223" i="43"/>
  <c r="L224" i="43" s="1"/>
  <c r="X215" i="43" s="1"/>
  <c r="D1" i="42"/>
  <c r="E1" i="42" s="1"/>
  <c r="F1" i="42" s="1"/>
  <c r="G1" i="42" s="1"/>
  <c r="H1" i="42" s="1"/>
  <c r="I1" i="42" s="1"/>
  <c r="J1" i="42" s="1"/>
  <c r="K1" i="42" s="1"/>
  <c r="L1" i="42" s="1"/>
  <c r="M1" i="42" s="1"/>
  <c r="N1" i="42" s="1"/>
  <c r="O1" i="42" s="1"/>
  <c r="P1" i="42" s="1"/>
  <c r="Q1" i="42" s="1"/>
  <c r="R1" i="42" s="1"/>
  <c r="S1" i="42" s="1"/>
  <c r="T1" i="42" s="1"/>
  <c r="U1" i="42" s="1"/>
  <c r="V1" i="42" s="1"/>
  <c r="W1" i="42" s="1"/>
  <c r="X1" i="42" s="1"/>
  <c r="Y1" i="42" s="1"/>
  <c r="Z1" i="42" s="1"/>
  <c r="AA1" i="42" s="1"/>
  <c r="AB1" i="42" s="1"/>
  <c r="AC1" i="42" s="1"/>
  <c r="AD1" i="42" s="1"/>
  <c r="AE1" i="42" s="1"/>
  <c r="AF1" i="42" s="1"/>
  <c r="AG1" i="42" s="1"/>
  <c r="AH1" i="42" s="1"/>
  <c r="AI1" i="42" s="1"/>
  <c r="AJ1" i="42" s="1"/>
  <c r="AK1" i="42" s="1"/>
  <c r="AL1" i="42" s="1"/>
  <c r="AN3" i="42"/>
  <c r="C4" i="42"/>
  <c r="D4" i="42"/>
  <c r="E4" i="42"/>
  <c r="F4" i="42"/>
  <c r="G4" i="42"/>
  <c r="H4" i="42"/>
  <c r="W9" i="42" s="1"/>
  <c r="I4" i="42"/>
  <c r="J4" i="42"/>
  <c r="K4" i="42"/>
  <c r="L4" i="42"/>
  <c r="M4" i="42"/>
  <c r="N4" i="42"/>
  <c r="O4" i="42"/>
  <c r="P4" i="42"/>
  <c r="P9" i="42" s="1"/>
  <c r="Q4" i="42"/>
  <c r="R4" i="42"/>
  <c r="S4" i="42"/>
  <c r="T4" i="42"/>
  <c r="U4" i="42"/>
  <c r="V4" i="42"/>
  <c r="W4" i="42"/>
  <c r="X4" i="42"/>
  <c r="Y4" i="42"/>
  <c r="Z4" i="42"/>
  <c r="AA4" i="42"/>
  <c r="AB4" i="42"/>
  <c r="AC4" i="42"/>
  <c r="AD4" i="42"/>
  <c r="AE4" i="42"/>
  <c r="AF4" i="42"/>
  <c r="AG4" i="42"/>
  <c r="AH4" i="42"/>
  <c r="AI4" i="42"/>
  <c r="AJ4" i="42"/>
  <c r="AK4" i="42"/>
  <c r="AL4" i="42"/>
  <c r="AN5" i="42"/>
  <c r="AO5" i="42"/>
  <c r="B6" i="42"/>
  <c r="C6" i="42"/>
  <c r="D6" i="42"/>
  <c r="E6" i="42"/>
  <c r="F6" i="42"/>
  <c r="G6" i="42"/>
  <c r="H6" i="42"/>
  <c r="I6" i="42"/>
  <c r="J6" i="42"/>
  <c r="K6" i="42"/>
  <c r="L6" i="42"/>
  <c r="M6" i="42"/>
  <c r="N6" i="42"/>
  <c r="O6" i="42"/>
  <c r="P6" i="42"/>
  <c r="Q6" i="42"/>
  <c r="R6" i="42"/>
  <c r="S6" i="42"/>
  <c r="T6" i="42"/>
  <c r="U6" i="42"/>
  <c r="V6" i="42"/>
  <c r="W6" i="42"/>
  <c r="X6" i="42"/>
  <c r="Y6" i="42"/>
  <c r="Z6" i="42"/>
  <c r="AA6" i="42"/>
  <c r="AB6" i="42"/>
  <c r="AC6" i="42"/>
  <c r="AD6" i="42"/>
  <c r="AE6" i="42"/>
  <c r="AF6" i="42"/>
  <c r="AG6" i="42"/>
  <c r="AH6" i="42"/>
  <c r="AI6" i="42"/>
  <c r="AJ6" i="42"/>
  <c r="AK6" i="42"/>
  <c r="AL6" i="42"/>
  <c r="AN7" i="42"/>
  <c r="AO7" i="42"/>
  <c r="B8" i="42"/>
  <c r="B28" i="42" s="1"/>
  <c r="C8" i="42"/>
  <c r="D8" i="42"/>
  <c r="E8" i="42"/>
  <c r="F8" i="42"/>
  <c r="G8" i="42"/>
  <c r="H8" i="42"/>
  <c r="I8" i="42"/>
  <c r="J8" i="42"/>
  <c r="K8" i="42"/>
  <c r="L8" i="42"/>
  <c r="M8" i="42"/>
  <c r="N8" i="42"/>
  <c r="O8" i="42"/>
  <c r="P8" i="42"/>
  <c r="Q8" i="42"/>
  <c r="R8" i="42"/>
  <c r="S8" i="42"/>
  <c r="T8" i="42"/>
  <c r="U8" i="42"/>
  <c r="V8" i="42"/>
  <c r="W8" i="42"/>
  <c r="X8" i="42"/>
  <c r="Y8" i="42"/>
  <c r="Z8" i="42"/>
  <c r="AA8" i="42"/>
  <c r="AB8" i="42"/>
  <c r="AC8" i="42"/>
  <c r="AD8" i="42"/>
  <c r="AE8" i="42"/>
  <c r="AF8" i="42"/>
  <c r="AG8" i="42"/>
  <c r="AH8" i="42"/>
  <c r="AI8" i="42"/>
  <c r="AJ8" i="42"/>
  <c r="AK8" i="42"/>
  <c r="AL8" i="42"/>
  <c r="Q9" i="42"/>
  <c r="B13" i="42"/>
  <c r="AN13" i="42"/>
  <c r="B14" i="42"/>
  <c r="B15" i="42"/>
  <c r="AN15" i="42"/>
  <c r="B16" i="42"/>
  <c r="B17" i="42"/>
  <c r="AN17" i="42"/>
  <c r="A22" i="42"/>
  <c r="B22" i="42"/>
  <c r="C22" i="42"/>
  <c r="D22" i="42"/>
  <c r="Q22" i="42" s="1"/>
  <c r="E22" i="42"/>
  <c r="R22" i="42" s="1"/>
  <c r="F22" i="42"/>
  <c r="S22" i="42" s="1"/>
  <c r="G22" i="42"/>
  <c r="H22" i="42"/>
  <c r="I22" i="42"/>
  <c r="J22" i="42"/>
  <c r="K22" i="42"/>
  <c r="L22" i="42"/>
  <c r="Y22" i="42" s="1"/>
  <c r="O22" i="42"/>
  <c r="P22" i="42"/>
  <c r="T22" i="42"/>
  <c r="U22" i="42"/>
  <c r="V22" i="42"/>
  <c r="W22" i="42"/>
  <c r="X22" i="42"/>
  <c r="B23" i="42"/>
  <c r="C23" i="42"/>
  <c r="D23" i="42"/>
  <c r="E23" i="42"/>
  <c r="F23" i="42"/>
  <c r="G23" i="42"/>
  <c r="H23" i="42"/>
  <c r="I23" i="42"/>
  <c r="J23" i="42"/>
  <c r="K23" i="42"/>
  <c r="L23" i="42"/>
  <c r="P23" i="42"/>
  <c r="P25" i="42" s="1"/>
  <c r="X23" i="42"/>
  <c r="B24" i="42"/>
  <c r="C24" i="42"/>
  <c r="D24" i="42"/>
  <c r="E24" i="42"/>
  <c r="F24" i="42"/>
  <c r="G24" i="42"/>
  <c r="H24" i="42"/>
  <c r="I24" i="42"/>
  <c r="J24" i="42"/>
  <c r="K24" i="42"/>
  <c r="L24" i="42"/>
  <c r="R24" i="42"/>
  <c r="B25" i="42"/>
  <c r="C25" i="42"/>
  <c r="D25" i="42"/>
  <c r="E25" i="42"/>
  <c r="F25" i="42"/>
  <c r="G25" i="42"/>
  <c r="H25" i="42"/>
  <c r="I25" i="42"/>
  <c r="J25" i="42"/>
  <c r="K25" i="42"/>
  <c r="L25" i="42"/>
  <c r="B26" i="42"/>
  <c r="C26" i="42"/>
  <c r="D26" i="42"/>
  <c r="Q23" i="42" s="1"/>
  <c r="E26" i="42"/>
  <c r="R23" i="42" s="1"/>
  <c r="R25" i="42" s="1"/>
  <c r="F26" i="42"/>
  <c r="S23" i="42" s="1"/>
  <c r="G26" i="42"/>
  <c r="T23" i="42" s="1"/>
  <c r="T25" i="42" s="1"/>
  <c r="H26" i="42"/>
  <c r="U23" i="42" s="1"/>
  <c r="U25" i="42" s="1"/>
  <c r="I26" i="42"/>
  <c r="V23" i="42" s="1"/>
  <c r="V25" i="42" s="1"/>
  <c r="J26" i="42"/>
  <c r="W23" i="42" s="1"/>
  <c r="K26" i="42"/>
  <c r="L26" i="42"/>
  <c r="Y23" i="42" s="1"/>
  <c r="B27" i="42"/>
  <c r="C27" i="42"/>
  <c r="D27" i="42"/>
  <c r="E27" i="42"/>
  <c r="F27" i="42"/>
  <c r="G27" i="42"/>
  <c r="H27" i="42"/>
  <c r="I27" i="42"/>
  <c r="J27" i="42"/>
  <c r="K27" i="42"/>
  <c r="L27" i="42"/>
  <c r="C28" i="42"/>
  <c r="P24" i="42" s="1"/>
  <c r="D28" i="42"/>
  <c r="Q24" i="42" s="1"/>
  <c r="E28" i="42"/>
  <c r="F28" i="42"/>
  <c r="S24" i="42" s="1"/>
  <c r="G28" i="42"/>
  <c r="T24" i="42" s="1"/>
  <c r="H28" i="42"/>
  <c r="U24" i="42" s="1"/>
  <c r="I28" i="42"/>
  <c r="V24" i="42" s="1"/>
  <c r="J28" i="42"/>
  <c r="W24" i="42" s="1"/>
  <c r="K28" i="42"/>
  <c r="X24" i="42" s="1"/>
  <c r="L28" i="42"/>
  <c r="Y24" i="42" s="1"/>
  <c r="B30" i="42"/>
  <c r="B31" i="42"/>
  <c r="B90" i="42" s="1"/>
  <c r="B137" i="42" s="1"/>
  <c r="C31" i="42"/>
  <c r="D31" i="42"/>
  <c r="E31" i="42"/>
  <c r="E90" i="42" s="1"/>
  <c r="E137" i="42" s="1"/>
  <c r="F31" i="42"/>
  <c r="G31" i="42"/>
  <c r="H31" i="42"/>
  <c r="I31" i="42"/>
  <c r="J31" i="42"/>
  <c r="J90" i="42" s="1"/>
  <c r="J137" i="42" s="1"/>
  <c r="K31" i="42"/>
  <c r="L31" i="42"/>
  <c r="M31" i="42"/>
  <c r="N31" i="42"/>
  <c r="O31" i="42"/>
  <c r="P31" i="42"/>
  <c r="Q31" i="42"/>
  <c r="R31" i="42"/>
  <c r="R90" i="42" s="1"/>
  <c r="R137" i="42" s="1"/>
  <c r="S31" i="42"/>
  <c r="T31" i="42"/>
  <c r="U31" i="42"/>
  <c r="U90" i="42" s="1"/>
  <c r="U137" i="42" s="1"/>
  <c r="V31" i="42"/>
  <c r="W31" i="42"/>
  <c r="X31" i="42"/>
  <c r="Y31" i="42"/>
  <c r="Z31" i="42"/>
  <c r="Z90" i="42" s="1"/>
  <c r="Z137" i="42" s="1"/>
  <c r="AA31" i="42"/>
  <c r="AB31" i="42"/>
  <c r="AC31" i="42"/>
  <c r="AC90" i="42" s="1"/>
  <c r="AC137" i="42" s="1"/>
  <c r="AD31" i="42"/>
  <c r="AE31" i="42"/>
  <c r="AF31" i="42"/>
  <c r="AG31" i="42"/>
  <c r="AH31" i="42"/>
  <c r="AH90" i="42" s="1"/>
  <c r="AH137" i="42" s="1"/>
  <c r="AI31" i="42"/>
  <c r="AJ31" i="42"/>
  <c r="AK31" i="42"/>
  <c r="AK90" i="42" s="1"/>
  <c r="AK137" i="42" s="1"/>
  <c r="AL31" i="42"/>
  <c r="C32" i="42"/>
  <c r="D32" i="42"/>
  <c r="E32" i="42"/>
  <c r="F32" i="42"/>
  <c r="G32" i="42"/>
  <c r="H32" i="42"/>
  <c r="I32" i="42"/>
  <c r="J32" i="42"/>
  <c r="K32" i="42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N34" i="42"/>
  <c r="AN36" i="42"/>
  <c r="AN38" i="42"/>
  <c r="AN40" i="42"/>
  <c r="AN42" i="42"/>
  <c r="AN44" i="42"/>
  <c r="AN46" i="42"/>
  <c r="AN52" i="42"/>
  <c r="AN54" i="42"/>
  <c r="AN56" i="42"/>
  <c r="AN58" i="42"/>
  <c r="AN60" i="42"/>
  <c r="AN62" i="42"/>
  <c r="AN64" i="42"/>
  <c r="AN66" i="42"/>
  <c r="A71" i="42"/>
  <c r="O71" i="42" s="1"/>
  <c r="B71" i="42"/>
  <c r="C71" i="42"/>
  <c r="P71" i="42" s="1"/>
  <c r="D71" i="42"/>
  <c r="Q71" i="42" s="1"/>
  <c r="E71" i="42"/>
  <c r="R71" i="42" s="1"/>
  <c r="F71" i="42"/>
  <c r="G71" i="42"/>
  <c r="H71" i="42"/>
  <c r="U71" i="42" s="1"/>
  <c r="I71" i="42"/>
  <c r="V71" i="42" s="1"/>
  <c r="J71" i="42"/>
  <c r="W71" i="42" s="1"/>
  <c r="K71" i="42"/>
  <c r="X71" i="42" s="1"/>
  <c r="L71" i="42"/>
  <c r="Y71" i="42" s="1"/>
  <c r="S71" i="42"/>
  <c r="T71" i="42"/>
  <c r="Z71" i="42"/>
  <c r="C72" i="42"/>
  <c r="D72" i="42"/>
  <c r="E72" i="42"/>
  <c r="F72" i="42"/>
  <c r="G72" i="42"/>
  <c r="H72" i="42"/>
  <c r="I72" i="42"/>
  <c r="J72" i="42"/>
  <c r="K72" i="42"/>
  <c r="L72" i="42"/>
  <c r="U72" i="42"/>
  <c r="Z72" i="42"/>
  <c r="C73" i="42"/>
  <c r="D73" i="42"/>
  <c r="E73" i="42"/>
  <c r="F73" i="42"/>
  <c r="G73" i="42"/>
  <c r="H73" i="42"/>
  <c r="I73" i="42"/>
  <c r="J73" i="42"/>
  <c r="K73" i="42"/>
  <c r="L73" i="42"/>
  <c r="Z73" i="42"/>
  <c r="C74" i="42"/>
  <c r="D74" i="42"/>
  <c r="E74" i="42"/>
  <c r="F74" i="42"/>
  <c r="G74" i="42"/>
  <c r="H74" i="42"/>
  <c r="I74" i="42"/>
  <c r="J74" i="42"/>
  <c r="K74" i="42"/>
  <c r="L74" i="42"/>
  <c r="P74" i="42"/>
  <c r="U74" i="42"/>
  <c r="X74" i="42"/>
  <c r="Z74" i="42"/>
  <c r="C75" i="42"/>
  <c r="P72" i="42" s="1"/>
  <c r="D75" i="42"/>
  <c r="Q72" i="42" s="1"/>
  <c r="E75" i="42"/>
  <c r="R72" i="42" s="1"/>
  <c r="F75" i="42"/>
  <c r="S72" i="42" s="1"/>
  <c r="G75" i="42"/>
  <c r="T72" i="42" s="1"/>
  <c r="H75" i="42"/>
  <c r="I75" i="42"/>
  <c r="V72" i="42" s="1"/>
  <c r="J75" i="42"/>
  <c r="W72" i="42" s="1"/>
  <c r="K75" i="42"/>
  <c r="X72" i="42" s="1"/>
  <c r="L75" i="42"/>
  <c r="Y72" i="42" s="1"/>
  <c r="V75" i="42"/>
  <c r="Y75" i="42"/>
  <c r="Z75" i="42"/>
  <c r="C76" i="42"/>
  <c r="D76" i="42"/>
  <c r="E76" i="42"/>
  <c r="F76" i="42"/>
  <c r="G76" i="42"/>
  <c r="H76" i="42"/>
  <c r="I76" i="42"/>
  <c r="J76" i="42"/>
  <c r="K76" i="42"/>
  <c r="L76" i="42"/>
  <c r="X76" i="42"/>
  <c r="Z76" i="42"/>
  <c r="C77" i="42"/>
  <c r="P73" i="42" s="1"/>
  <c r="D77" i="42"/>
  <c r="Q73" i="42" s="1"/>
  <c r="E77" i="42"/>
  <c r="R73" i="42" s="1"/>
  <c r="F77" i="42"/>
  <c r="S73" i="42" s="1"/>
  <c r="G77" i="42"/>
  <c r="T73" i="42" s="1"/>
  <c r="H77" i="42"/>
  <c r="U73" i="42" s="1"/>
  <c r="I77" i="42"/>
  <c r="V73" i="42" s="1"/>
  <c r="J77" i="42"/>
  <c r="W73" i="42" s="1"/>
  <c r="K77" i="42"/>
  <c r="X73" i="42" s="1"/>
  <c r="L77" i="42"/>
  <c r="Y73" i="42" s="1"/>
  <c r="Q77" i="42"/>
  <c r="R77" i="42"/>
  <c r="Z77" i="42"/>
  <c r="C78" i="42"/>
  <c r="D78" i="42"/>
  <c r="E78" i="42"/>
  <c r="F78" i="42"/>
  <c r="G78" i="42"/>
  <c r="H78" i="42"/>
  <c r="I78" i="42"/>
  <c r="J78" i="42"/>
  <c r="K78" i="42"/>
  <c r="L78" i="42"/>
  <c r="P78" i="42"/>
  <c r="Z78" i="42"/>
  <c r="C79" i="42"/>
  <c r="D79" i="42"/>
  <c r="Q74" i="42" s="1"/>
  <c r="E79" i="42"/>
  <c r="R74" i="42" s="1"/>
  <c r="F79" i="42"/>
  <c r="S74" i="42" s="1"/>
  <c r="G79" i="42"/>
  <c r="T74" i="42" s="1"/>
  <c r="H79" i="42"/>
  <c r="I79" i="42"/>
  <c r="V74" i="42" s="1"/>
  <c r="J79" i="42"/>
  <c r="W74" i="42" s="1"/>
  <c r="K79" i="42"/>
  <c r="L79" i="42"/>
  <c r="Y74" i="42" s="1"/>
  <c r="C80" i="42"/>
  <c r="D80" i="42"/>
  <c r="E80" i="42"/>
  <c r="F80" i="42"/>
  <c r="G80" i="42"/>
  <c r="H80" i="42"/>
  <c r="I80" i="42"/>
  <c r="J80" i="42"/>
  <c r="K80" i="42"/>
  <c r="L80" i="42"/>
  <c r="C81" i="42"/>
  <c r="P75" i="42" s="1"/>
  <c r="D81" i="42"/>
  <c r="Q75" i="42" s="1"/>
  <c r="E81" i="42"/>
  <c r="R75" i="42" s="1"/>
  <c r="F81" i="42"/>
  <c r="S75" i="42" s="1"/>
  <c r="G81" i="42"/>
  <c r="T75" i="42" s="1"/>
  <c r="H81" i="42"/>
  <c r="U75" i="42" s="1"/>
  <c r="I81" i="42"/>
  <c r="J81" i="42"/>
  <c r="W75" i="42" s="1"/>
  <c r="K81" i="42"/>
  <c r="X75" i="42" s="1"/>
  <c r="L81" i="42"/>
  <c r="C82" i="42"/>
  <c r="D82" i="42"/>
  <c r="E82" i="42"/>
  <c r="F82" i="42"/>
  <c r="G82" i="42"/>
  <c r="H82" i="42"/>
  <c r="I82" i="42"/>
  <c r="J82" i="42"/>
  <c r="K82" i="42"/>
  <c r="L82" i="42"/>
  <c r="C83" i="42"/>
  <c r="P76" i="42" s="1"/>
  <c r="D83" i="42"/>
  <c r="Q76" i="42" s="1"/>
  <c r="E83" i="42"/>
  <c r="R76" i="42" s="1"/>
  <c r="F83" i="42"/>
  <c r="S76" i="42" s="1"/>
  <c r="G83" i="42"/>
  <c r="T76" i="42" s="1"/>
  <c r="H83" i="42"/>
  <c r="U76" i="42" s="1"/>
  <c r="I83" i="42"/>
  <c r="V76" i="42" s="1"/>
  <c r="J83" i="42"/>
  <c r="W76" i="42" s="1"/>
  <c r="K83" i="42"/>
  <c r="L83" i="42"/>
  <c r="Y76" i="42" s="1"/>
  <c r="C84" i="42"/>
  <c r="D84" i="42"/>
  <c r="E84" i="42"/>
  <c r="F84" i="42"/>
  <c r="G84" i="42"/>
  <c r="H84" i="42"/>
  <c r="I84" i="42"/>
  <c r="J84" i="42"/>
  <c r="K84" i="42"/>
  <c r="L84" i="42"/>
  <c r="C85" i="42"/>
  <c r="P77" i="42" s="1"/>
  <c r="D85" i="42"/>
  <c r="E85" i="42"/>
  <c r="F85" i="42"/>
  <c r="S77" i="42" s="1"/>
  <c r="G85" i="42"/>
  <c r="T77" i="42" s="1"/>
  <c r="H85" i="42"/>
  <c r="U77" i="42" s="1"/>
  <c r="I85" i="42"/>
  <c r="V77" i="42" s="1"/>
  <c r="J85" i="42"/>
  <c r="W77" i="42" s="1"/>
  <c r="K85" i="42"/>
  <c r="X77" i="42" s="1"/>
  <c r="L85" i="42"/>
  <c r="Y77" i="42" s="1"/>
  <c r="C86" i="42"/>
  <c r="D86" i="42"/>
  <c r="E86" i="42"/>
  <c r="F86" i="42"/>
  <c r="G86" i="42"/>
  <c r="H86" i="42"/>
  <c r="I86" i="42"/>
  <c r="J86" i="42"/>
  <c r="K86" i="42"/>
  <c r="L86" i="42"/>
  <c r="C87" i="42"/>
  <c r="D87" i="42"/>
  <c r="Q78" i="42" s="1"/>
  <c r="E87" i="42"/>
  <c r="R78" i="42" s="1"/>
  <c r="F87" i="42"/>
  <c r="S78" i="42" s="1"/>
  <c r="G87" i="42"/>
  <c r="T78" i="42" s="1"/>
  <c r="H87" i="42"/>
  <c r="U78" i="42" s="1"/>
  <c r="I87" i="42"/>
  <c r="V78" i="42" s="1"/>
  <c r="J87" i="42"/>
  <c r="W78" i="42" s="1"/>
  <c r="K87" i="42"/>
  <c r="X78" i="42" s="1"/>
  <c r="L87" i="42"/>
  <c r="Y78" i="42" s="1"/>
  <c r="B89" i="42"/>
  <c r="C90" i="42"/>
  <c r="D90" i="42"/>
  <c r="D137" i="42" s="1"/>
  <c r="F90" i="42"/>
  <c r="G90" i="42"/>
  <c r="H90" i="42"/>
  <c r="I90" i="42"/>
  <c r="I137" i="42" s="1"/>
  <c r="K90" i="42"/>
  <c r="L90" i="42"/>
  <c r="M90" i="42"/>
  <c r="M137" i="42" s="1"/>
  <c r="N90" i="42"/>
  <c r="O90" i="42"/>
  <c r="P90" i="42"/>
  <c r="Q90" i="42"/>
  <c r="S90" i="42"/>
  <c r="S137" i="42" s="1"/>
  <c r="T90" i="42"/>
  <c r="V90" i="42"/>
  <c r="V137" i="42" s="1"/>
  <c r="W90" i="42"/>
  <c r="X90" i="42"/>
  <c r="Y90" i="42"/>
  <c r="AA90" i="42"/>
  <c r="AB90" i="42"/>
  <c r="AB137" i="42" s="1"/>
  <c r="AD90" i="42"/>
  <c r="AE90" i="42"/>
  <c r="AE137" i="42" s="1"/>
  <c r="AF90" i="42"/>
  <c r="AG90" i="42"/>
  <c r="AI90" i="42"/>
  <c r="AJ90" i="42"/>
  <c r="AL90" i="42"/>
  <c r="C91" i="42"/>
  <c r="D91" i="42"/>
  <c r="E91" i="42"/>
  <c r="F91" i="42"/>
  <c r="G91" i="42"/>
  <c r="H91" i="42"/>
  <c r="I91" i="42"/>
  <c r="J91" i="42"/>
  <c r="K91" i="42"/>
  <c r="L91" i="42"/>
  <c r="M91" i="42"/>
  <c r="N91" i="42"/>
  <c r="O91" i="42"/>
  <c r="P91" i="42"/>
  <c r="Q91" i="42"/>
  <c r="R91" i="42"/>
  <c r="S91" i="42"/>
  <c r="T91" i="42"/>
  <c r="U91" i="42"/>
  <c r="V91" i="42"/>
  <c r="W91" i="42"/>
  <c r="X91" i="42"/>
  <c r="Y91" i="42"/>
  <c r="Z91" i="42"/>
  <c r="AA91" i="42"/>
  <c r="AB91" i="42"/>
  <c r="AC91" i="42"/>
  <c r="AD91" i="42"/>
  <c r="AE91" i="42"/>
  <c r="AF91" i="42"/>
  <c r="AG91" i="42"/>
  <c r="AH91" i="42"/>
  <c r="AI91" i="42"/>
  <c r="AJ91" i="42"/>
  <c r="AK91" i="42"/>
  <c r="AL91" i="42"/>
  <c r="AN93" i="42"/>
  <c r="AN95" i="42"/>
  <c r="AN97" i="42"/>
  <c r="AN99" i="42"/>
  <c r="AN101" i="42"/>
  <c r="AN107" i="42"/>
  <c r="AN109" i="42"/>
  <c r="AN111" i="42"/>
  <c r="AN113" i="42"/>
  <c r="AN115" i="42"/>
  <c r="AN117" i="42"/>
  <c r="A122" i="42"/>
  <c r="B122" i="42"/>
  <c r="C122" i="42"/>
  <c r="P122" i="42" s="1"/>
  <c r="D122" i="42"/>
  <c r="Q122" i="42" s="1"/>
  <c r="E122" i="42"/>
  <c r="R122" i="42" s="1"/>
  <c r="F122" i="42"/>
  <c r="S122" i="42" s="1"/>
  <c r="G122" i="42"/>
  <c r="H122" i="42"/>
  <c r="U122" i="42" s="1"/>
  <c r="I122" i="42"/>
  <c r="J122" i="42"/>
  <c r="K122" i="42"/>
  <c r="X122" i="42" s="1"/>
  <c r="L122" i="42"/>
  <c r="M122" i="42"/>
  <c r="Z122" i="42" s="1"/>
  <c r="O122" i="42"/>
  <c r="T122" i="42"/>
  <c r="V122" i="42"/>
  <c r="W122" i="42"/>
  <c r="Y122" i="42"/>
  <c r="C123" i="42"/>
  <c r="D123" i="42"/>
  <c r="E123" i="42"/>
  <c r="F123" i="42"/>
  <c r="G123" i="42"/>
  <c r="H123" i="42"/>
  <c r="I123" i="42"/>
  <c r="J123" i="42"/>
  <c r="K123" i="42"/>
  <c r="L123" i="42"/>
  <c r="M123" i="42"/>
  <c r="T123" i="42"/>
  <c r="C124" i="42"/>
  <c r="D124" i="42"/>
  <c r="E124" i="42"/>
  <c r="F124" i="42"/>
  <c r="G124" i="42"/>
  <c r="H124" i="42"/>
  <c r="I124" i="42"/>
  <c r="J124" i="42"/>
  <c r="K124" i="42"/>
  <c r="L124" i="42"/>
  <c r="M124" i="42"/>
  <c r="P124" i="42"/>
  <c r="V124" i="42"/>
  <c r="C125" i="42"/>
  <c r="D125" i="42"/>
  <c r="E125" i="42"/>
  <c r="F125" i="42"/>
  <c r="G125" i="42"/>
  <c r="H125" i="42"/>
  <c r="I125" i="42"/>
  <c r="J125" i="42"/>
  <c r="K125" i="42"/>
  <c r="L125" i="42"/>
  <c r="M125" i="42"/>
  <c r="U125" i="42"/>
  <c r="Z125" i="42"/>
  <c r="C126" i="42"/>
  <c r="P123" i="42" s="1"/>
  <c r="D126" i="42"/>
  <c r="Q123" i="42" s="1"/>
  <c r="E126" i="42"/>
  <c r="R123" i="42" s="1"/>
  <c r="F126" i="42"/>
  <c r="S123" i="42" s="1"/>
  <c r="G126" i="42"/>
  <c r="H126" i="42"/>
  <c r="U123" i="42" s="1"/>
  <c r="I126" i="42"/>
  <c r="V123" i="42" s="1"/>
  <c r="J126" i="42"/>
  <c r="W123" i="42" s="1"/>
  <c r="K126" i="42"/>
  <c r="X123" i="42" s="1"/>
  <c r="L126" i="42"/>
  <c r="Y123" i="42" s="1"/>
  <c r="M126" i="42"/>
  <c r="Z123" i="42" s="1"/>
  <c r="U126" i="42"/>
  <c r="Z126" i="42"/>
  <c r="C127" i="42"/>
  <c r="D127" i="42"/>
  <c r="E127" i="42"/>
  <c r="F127" i="42"/>
  <c r="G127" i="42"/>
  <c r="H127" i="42"/>
  <c r="I127" i="42"/>
  <c r="J127" i="42"/>
  <c r="K127" i="42"/>
  <c r="L127" i="42"/>
  <c r="M127" i="42"/>
  <c r="T127" i="42"/>
  <c r="Y127" i="42"/>
  <c r="C128" i="42"/>
  <c r="D128" i="42"/>
  <c r="Q124" i="42" s="1"/>
  <c r="E128" i="42"/>
  <c r="R124" i="42" s="1"/>
  <c r="F128" i="42"/>
  <c r="S124" i="42" s="1"/>
  <c r="G128" i="42"/>
  <c r="T124" i="42" s="1"/>
  <c r="H128" i="42"/>
  <c r="U124" i="42" s="1"/>
  <c r="I128" i="42"/>
  <c r="J128" i="42"/>
  <c r="W124" i="42" s="1"/>
  <c r="K128" i="42"/>
  <c r="X124" i="42" s="1"/>
  <c r="L128" i="42"/>
  <c r="Y124" i="42" s="1"/>
  <c r="M128" i="42"/>
  <c r="Z124" i="42" s="1"/>
  <c r="C129" i="42"/>
  <c r="D129" i="42"/>
  <c r="E129" i="42"/>
  <c r="F129" i="42"/>
  <c r="G129" i="42"/>
  <c r="H129" i="42"/>
  <c r="I129" i="42"/>
  <c r="J129" i="42"/>
  <c r="K129" i="42"/>
  <c r="L129" i="42"/>
  <c r="M129" i="42"/>
  <c r="C130" i="42"/>
  <c r="P125" i="42" s="1"/>
  <c r="D130" i="42"/>
  <c r="Q125" i="42" s="1"/>
  <c r="E130" i="42"/>
  <c r="R125" i="42" s="1"/>
  <c r="F130" i="42"/>
  <c r="S125" i="42" s="1"/>
  <c r="G130" i="42"/>
  <c r="T125" i="42" s="1"/>
  <c r="H130" i="42"/>
  <c r="I130" i="42"/>
  <c r="V125" i="42" s="1"/>
  <c r="J130" i="42"/>
  <c r="W125" i="42" s="1"/>
  <c r="K130" i="42"/>
  <c r="X125" i="42" s="1"/>
  <c r="L130" i="42"/>
  <c r="Y125" i="42" s="1"/>
  <c r="M130" i="42"/>
  <c r="C131" i="42"/>
  <c r="D131" i="42"/>
  <c r="E131" i="42"/>
  <c r="F131" i="42"/>
  <c r="G131" i="42"/>
  <c r="H131" i="42"/>
  <c r="I131" i="42"/>
  <c r="J131" i="42"/>
  <c r="K131" i="42"/>
  <c r="L131" i="42"/>
  <c r="M131" i="42"/>
  <c r="C132" i="42"/>
  <c r="P126" i="42" s="1"/>
  <c r="D132" i="42"/>
  <c r="Q126" i="42" s="1"/>
  <c r="E132" i="42"/>
  <c r="R126" i="42" s="1"/>
  <c r="F132" i="42"/>
  <c r="S126" i="42" s="1"/>
  <c r="G132" i="42"/>
  <c r="T126" i="42" s="1"/>
  <c r="H132" i="42"/>
  <c r="I132" i="42"/>
  <c r="V126" i="42" s="1"/>
  <c r="J132" i="42"/>
  <c r="W126" i="42" s="1"/>
  <c r="K132" i="42"/>
  <c r="X126" i="42" s="1"/>
  <c r="L132" i="42"/>
  <c r="Y126" i="42" s="1"/>
  <c r="M132" i="42"/>
  <c r="C133" i="42"/>
  <c r="D133" i="42"/>
  <c r="E133" i="42"/>
  <c r="F133" i="42"/>
  <c r="G133" i="42"/>
  <c r="H133" i="42"/>
  <c r="I133" i="42"/>
  <c r="J133" i="42"/>
  <c r="K133" i="42"/>
  <c r="L133" i="42"/>
  <c r="M133" i="42"/>
  <c r="C134" i="42"/>
  <c r="P127" i="42" s="1"/>
  <c r="D134" i="42"/>
  <c r="Q127" i="42" s="1"/>
  <c r="E134" i="42"/>
  <c r="R127" i="42" s="1"/>
  <c r="F134" i="42"/>
  <c r="S127" i="42" s="1"/>
  <c r="G134" i="42"/>
  <c r="H134" i="42"/>
  <c r="U127" i="42" s="1"/>
  <c r="I134" i="42"/>
  <c r="V127" i="42" s="1"/>
  <c r="J134" i="42"/>
  <c r="W127" i="42" s="1"/>
  <c r="K134" i="42"/>
  <c r="X127" i="42" s="1"/>
  <c r="L134" i="42"/>
  <c r="M134" i="42"/>
  <c r="Z127" i="42" s="1"/>
  <c r="B136" i="42"/>
  <c r="C137" i="42"/>
  <c r="F137" i="42"/>
  <c r="G137" i="42"/>
  <c r="H137" i="42"/>
  <c r="K137" i="42"/>
  <c r="L137" i="42"/>
  <c r="N137" i="42"/>
  <c r="O137" i="42"/>
  <c r="P137" i="42"/>
  <c r="Q137" i="42"/>
  <c r="T137" i="42"/>
  <c r="W137" i="42"/>
  <c r="X137" i="42"/>
  <c r="Y137" i="42"/>
  <c r="AA137" i="42"/>
  <c r="AD137" i="42"/>
  <c r="AF137" i="42"/>
  <c r="AG137" i="42"/>
  <c r="AI137" i="42"/>
  <c r="AJ137" i="42"/>
  <c r="AL137" i="42"/>
  <c r="B138" i="42"/>
  <c r="C138" i="42"/>
  <c r="D138" i="42"/>
  <c r="E138" i="42"/>
  <c r="F138" i="42"/>
  <c r="G138" i="42"/>
  <c r="G139" i="42" s="1"/>
  <c r="H138" i="42"/>
  <c r="I138" i="42"/>
  <c r="J138" i="42"/>
  <c r="J139" i="42" s="1"/>
  <c r="K138" i="42"/>
  <c r="L138" i="42"/>
  <c r="M138" i="42"/>
  <c r="N138" i="42"/>
  <c r="O138" i="42"/>
  <c r="P138" i="42"/>
  <c r="Q138" i="42"/>
  <c r="R138" i="42"/>
  <c r="R139" i="42" s="1"/>
  <c r="S138" i="42"/>
  <c r="T138" i="42"/>
  <c r="T139" i="42" s="1"/>
  <c r="U138" i="42"/>
  <c r="V138" i="42"/>
  <c r="W138" i="42"/>
  <c r="X138" i="42"/>
  <c r="Y138" i="42"/>
  <c r="Z138" i="42"/>
  <c r="Z139" i="42" s="1"/>
  <c r="AA138" i="42"/>
  <c r="AB138" i="42"/>
  <c r="AC138" i="42"/>
  <c r="AD138" i="42"/>
  <c r="AE138" i="42"/>
  <c r="AF138" i="42"/>
  <c r="AG138" i="42"/>
  <c r="AH138" i="42"/>
  <c r="AH139" i="42" s="1"/>
  <c r="AI138" i="42"/>
  <c r="AJ138" i="42"/>
  <c r="AK138" i="42"/>
  <c r="AL138" i="42"/>
  <c r="B139" i="42"/>
  <c r="O139" i="42"/>
  <c r="B140" i="42"/>
  <c r="AO140" i="42" s="1"/>
  <c r="AN140" i="42"/>
  <c r="J141" i="42"/>
  <c r="P141" i="42"/>
  <c r="R141" i="42"/>
  <c r="W141" i="42"/>
  <c r="X141" i="42"/>
  <c r="AE141" i="42"/>
  <c r="AF141" i="42"/>
  <c r="B142" i="42"/>
  <c r="AE143" i="42" s="1"/>
  <c r="AN142" i="42"/>
  <c r="B144" i="42"/>
  <c r="C145" i="42" s="1"/>
  <c r="AN144" i="42"/>
  <c r="B146" i="42"/>
  <c r="J147" i="42" s="1"/>
  <c r="AN146" i="42"/>
  <c r="C147" i="42"/>
  <c r="H147" i="42"/>
  <c r="M147" i="42"/>
  <c r="O147" i="42"/>
  <c r="U147" i="42"/>
  <c r="X147" i="42"/>
  <c r="AD147" i="42"/>
  <c r="AF147" i="42"/>
  <c r="AH147" i="42"/>
  <c r="AI147" i="42"/>
  <c r="B148" i="42"/>
  <c r="B172" i="42" s="1"/>
  <c r="AN148" i="42"/>
  <c r="AD149" i="42"/>
  <c r="B150" i="42"/>
  <c r="AO150" i="42" s="1"/>
  <c r="AN150" i="42"/>
  <c r="R151" i="42"/>
  <c r="AH151" i="42"/>
  <c r="AI151" i="42"/>
  <c r="B152" i="42"/>
  <c r="AC153" i="42" s="1"/>
  <c r="AN152" i="42"/>
  <c r="M153" i="42"/>
  <c r="Q153" i="42"/>
  <c r="Y153" i="42"/>
  <c r="AE153" i="42"/>
  <c r="AG153" i="42"/>
  <c r="B154" i="42"/>
  <c r="D155" i="42" s="1"/>
  <c r="AN154" i="42"/>
  <c r="I155" i="42"/>
  <c r="O155" i="42"/>
  <c r="P155" i="42"/>
  <c r="W155" i="42"/>
  <c r="Y155" i="42"/>
  <c r="AB155" i="42"/>
  <c r="AJ155" i="42"/>
  <c r="B156" i="42"/>
  <c r="D157" i="42" s="1"/>
  <c r="AN156" i="42"/>
  <c r="AN162" i="42"/>
  <c r="B163" i="42"/>
  <c r="B164" i="42"/>
  <c r="AN164" i="42"/>
  <c r="B166" i="42"/>
  <c r="AN166" i="42"/>
  <c r="AN168" i="42"/>
  <c r="B170" i="42"/>
  <c r="AN170" i="42"/>
  <c r="AN172" i="42"/>
  <c r="AN174" i="42"/>
  <c r="AN176" i="42"/>
  <c r="B178" i="42"/>
  <c r="AN178" i="42"/>
  <c r="AN180" i="42"/>
  <c r="A185" i="42"/>
  <c r="B185" i="42"/>
  <c r="C185" i="42"/>
  <c r="D185" i="42"/>
  <c r="D208" i="42" s="1"/>
  <c r="Q208" i="42" s="1"/>
  <c r="E185" i="42"/>
  <c r="E208" i="42" s="1"/>
  <c r="R208" i="42" s="1"/>
  <c r="F185" i="42"/>
  <c r="G185" i="42"/>
  <c r="H185" i="42"/>
  <c r="H208" i="42" s="1"/>
  <c r="U208" i="42" s="1"/>
  <c r="I185" i="42"/>
  <c r="J185" i="42"/>
  <c r="K185" i="42"/>
  <c r="L185" i="42"/>
  <c r="L208" i="42" s="1"/>
  <c r="Y208" i="42" s="1"/>
  <c r="B186" i="42"/>
  <c r="C186" i="42"/>
  <c r="D186" i="42"/>
  <c r="D209" i="42" s="1"/>
  <c r="E186" i="42"/>
  <c r="E209" i="42" s="1"/>
  <c r="F186" i="42"/>
  <c r="G186" i="42"/>
  <c r="H186" i="42"/>
  <c r="H209" i="42" s="1"/>
  <c r="I186" i="42"/>
  <c r="I209" i="42" s="1"/>
  <c r="J186" i="42"/>
  <c r="K186" i="42"/>
  <c r="L186" i="42"/>
  <c r="L209" i="42" s="1"/>
  <c r="B187" i="42"/>
  <c r="B210" i="42" s="1"/>
  <c r="C187" i="42"/>
  <c r="D187" i="42"/>
  <c r="E187" i="42"/>
  <c r="E210" i="42" s="1"/>
  <c r="F187" i="42"/>
  <c r="F210" i="42" s="1"/>
  <c r="G187" i="42"/>
  <c r="H187" i="42"/>
  <c r="I187" i="42"/>
  <c r="I210" i="42" s="1"/>
  <c r="J187" i="42"/>
  <c r="J210" i="42" s="1"/>
  <c r="K187" i="42"/>
  <c r="L187" i="42"/>
  <c r="B188" i="42"/>
  <c r="B211" i="42" s="1"/>
  <c r="C188" i="42"/>
  <c r="C211" i="42" s="1"/>
  <c r="D188" i="42"/>
  <c r="E188" i="42"/>
  <c r="E211" i="42" s="1"/>
  <c r="F188" i="42"/>
  <c r="G188" i="42"/>
  <c r="G211" i="42" s="1"/>
  <c r="H188" i="42"/>
  <c r="I188" i="42"/>
  <c r="I211" i="42" s="1"/>
  <c r="J188" i="42"/>
  <c r="J211" i="42" s="1"/>
  <c r="K188" i="42"/>
  <c r="K211" i="42" s="1"/>
  <c r="L188" i="42"/>
  <c r="C189" i="42"/>
  <c r="C212" i="42" s="1"/>
  <c r="P209" i="42" s="1"/>
  <c r="D189" i="42"/>
  <c r="E189" i="42"/>
  <c r="E212" i="42" s="1"/>
  <c r="R209" i="42" s="1"/>
  <c r="F189" i="42"/>
  <c r="F212" i="42" s="1"/>
  <c r="S209" i="42" s="1"/>
  <c r="G189" i="42"/>
  <c r="G212" i="42" s="1"/>
  <c r="T209" i="42" s="1"/>
  <c r="H189" i="42"/>
  <c r="H212" i="42" s="1"/>
  <c r="U209" i="42" s="1"/>
  <c r="I189" i="42"/>
  <c r="J189" i="42"/>
  <c r="J212" i="42" s="1"/>
  <c r="W209" i="42" s="1"/>
  <c r="K189" i="42"/>
  <c r="K212" i="42" s="1"/>
  <c r="X209" i="42" s="1"/>
  <c r="L189" i="42"/>
  <c r="B190" i="42"/>
  <c r="C190" i="42"/>
  <c r="D190" i="42"/>
  <c r="E190" i="42"/>
  <c r="F190" i="42"/>
  <c r="G190" i="42"/>
  <c r="H190" i="42"/>
  <c r="I190" i="42"/>
  <c r="J190" i="42"/>
  <c r="J223" i="42" s="1"/>
  <c r="K190" i="42"/>
  <c r="L190" i="42"/>
  <c r="C191" i="42"/>
  <c r="D191" i="42"/>
  <c r="E191" i="42"/>
  <c r="F191" i="42"/>
  <c r="G191" i="42"/>
  <c r="H191" i="42"/>
  <c r="I191" i="42"/>
  <c r="J191" i="42"/>
  <c r="K191" i="42"/>
  <c r="L191" i="42"/>
  <c r="C192" i="42"/>
  <c r="C213" i="42" s="1"/>
  <c r="D192" i="42"/>
  <c r="D213" i="42" s="1"/>
  <c r="E192" i="42"/>
  <c r="E213" i="42" s="1"/>
  <c r="F192" i="42"/>
  <c r="G192" i="42"/>
  <c r="G213" i="42" s="1"/>
  <c r="H192" i="42"/>
  <c r="I192" i="42"/>
  <c r="J192" i="42"/>
  <c r="K192" i="42"/>
  <c r="K213" i="42" s="1"/>
  <c r="L192" i="42"/>
  <c r="L213" i="42" s="1"/>
  <c r="C193" i="42"/>
  <c r="C214" i="42" s="1"/>
  <c r="P210" i="42" s="1"/>
  <c r="D193" i="42"/>
  <c r="D214" i="42" s="1"/>
  <c r="Q210" i="42" s="1"/>
  <c r="E193" i="42"/>
  <c r="F193" i="42"/>
  <c r="G193" i="42"/>
  <c r="H193" i="42"/>
  <c r="H214" i="42" s="1"/>
  <c r="U210" i="42" s="1"/>
  <c r="I193" i="42"/>
  <c r="I214" i="42" s="1"/>
  <c r="J193" i="42"/>
  <c r="J214" i="42" s="1"/>
  <c r="W210" i="42" s="1"/>
  <c r="K193" i="42"/>
  <c r="K214" i="42" s="1"/>
  <c r="X210" i="42" s="1"/>
  <c r="L193" i="42"/>
  <c r="L214" i="42" s="1"/>
  <c r="B194" i="42"/>
  <c r="C194" i="42"/>
  <c r="D194" i="42"/>
  <c r="D215" i="42" s="1"/>
  <c r="E194" i="42"/>
  <c r="E215" i="42" s="1"/>
  <c r="F194" i="42"/>
  <c r="F215" i="42" s="1"/>
  <c r="G194" i="42"/>
  <c r="H194" i="42"/>
  <c r="H215" i="42" s="1"/>
  <c r="I194" i="42"/>
  <c r="J194" i="42"/>
  <c r="K194" i="42"/>
  <c r="L194" i="42"/>
  <c r="C195" i="42"/>
  <c r="D195" i="42"/>
  <c r="E195" i="42"/>
  <c r="F195" i="42"/>
  <c r="F216" i="42" s="1"/>
  <c r="S211" i="42" s="1"/>
  <c r="G195" i="42"/>
  <c r="H195" i="42"/>
  <c r="I195" i="42"/>
  <c r="I216" i="42" s="1"/>
  <c r="V211" i="42" s="1"/>
  <c r="J195" i="42"/>
  <c r="J216" i="42" s="1"/>
  <c r="W211" i="42" s="1"/>
  <c r="K195" i="42"/>
  <c r="L195" i="42"/>
  <c r="B196" i="42"/>
  <c r="C196" i="42"/>
  <c r="C217" i="42" s="1"/>
  <c r="D196" i="42"/>
  <c r="E196" i="42"/>
  <c r="E217" i="42" s="1"/>
  <c r="F196" i="42"/>
  <c r="F217" i="42" s="1"/>
  <c r="G196" i="42"/>
  <c r="H196" i="42"/>
  <c r="I196" i="42"/>
  <c r="J196" i="42"/>
  <c r="K196" i="42"/>
  <c r="K217" i="42" s="1"/>
  <c r="L196" i="42"/>
  <c r="C197" i="42"/>
  <c r="C218" i="42" s="1"/>
  <c r="P212" i="42" s="1"/>
  <c r="D197" i="42"/>
  <c r="D218" i="42" s="1"/>
  <c r="Q212" i="42" s="1"/>
  <c r="E197" i="42"/>
  <c r="F197" i="42"/>
  <c r="F218" i="42" s="1"/>
  <c r="G197" i="42"/>
  <c r="H197" i="42"/>
  <c r="I197" i="42"/>
  <c r="I218" i="42" s="1"/>
  <c r="V212" i="42" s="1"/>
  <c r="J197" i="42"/>
  <c r="J218" i="42" s="1"/>
  <c r="W212" i="42" s="1"/>
  <c r="K197" i="42"/>
  <c r="K218" i="42" s="1"/>
  <c r="L197" i="42"/>
  <c r="L218" i="42" s="1"/>
  <c r="Y212" i="42" s="1"/>
  <c r="B198" i="42"/>
  <c r="C198" i="42"/>
  <c r="D198" i="42"/>
  <c r="E198" i="42"/>
  <c r="F198" i="42"/>
  <c r="G198" i="42"/>
  <c r="H198" i="42"/>
  <c r="I198" i="42"/>
  <c r="J198" i="42"/>
  <c r="K198" i="42"/>
  <c r="L198" i="42"/>
  <c r="C199" i="42"/>
  <c r="D199" i="42"/>
  <c r="E199" i="42"/>
  <c r="F199" i="42"/>
  <c r="G199" i="42"/>
  <c r="H199" i="42"/>
  <c r="I199" i="42"/>
  <c r="J199" i="42"/>
  <c r="K199" i="42"/>
  <c r="L199" i="42"/>
  <c r="C200" i="42"/>
  <c r="C219" i="42" s="1"/>
  <c r="D200" i="42"/>
  <c r="E200" i="42"/>
  <c r="F200" i="42"/>
  <c r="G200" i="42"/>
  <c r="G219" i="42" s="1"/>
  <c r="H200" i="42"/>
  <c r="H219" i="42" s="1"/>
  <c r="I200" i="42"/>
  <c r="J200" i="42"/>
  <c r="J219" i="42" s="1"/>
  <c r="K200" i="42"/>
  <c r="K219" i="42" s="1"/>
  <c r="L200" i="42"/>
  <c r="C201" i="42"/>
  <c r="D201" i="42"/>
  <c r="D220" i="42" s="1"/>
  <c r="Q213" i="42" s="1"/>
  <c r="E201" i="42"/>
  <c r="F201" i="42"/>
  <c r="F220" i="42" s="1"/>
  <c r="S213" i="42" s="1"/>
  <c r="G201" i="42"/>
  <c r="H201" i="42"/>
  <c r="H220" i="42" s="1"/>
  <c r="U213" i="42" s="1"/>
  <c r="I201" i="42"/>
  <c r="J201" i="42"/>
  <c r="K201" i="42"/>
  <c r="L201" i="42"/>
  <c r="L220" i="42" s="1"/>
  <c r="Y213" i="42" s="1"/>
  <c r="B202" i="42"/>
  <c r="B221" i="42" s="1"/>
  <c r="C202" i="42"/>
  <c r="D202" i="42"/>
  <c r="D221" i="42" s="1"/>
  <c r="E202" i="42"/>
  <c r="E221" i="42" s="1"/>
  <c r="N221" i="42" s="1"/>
  <c r="F202" i="42"/>
  <c r="G202" i="42"/>
  <c r="H202" i="42"/>
  <c r="H221" i="42" s="1"/>
  <c r="I202" i="42"/>
  <c r="J202" i="42"/>
  <c r="J221" i="42" s="1"/>
  <c r="K202" i="42"/>
  <c r="L202" i="42"/>
  <c r="L221" i="42" s="1"/>
  <c r="C203" i="42"/>
  <c r="C222" i="42" s="1"/>
  <c r="P214" i="42" s="1"/>
  <c r="D203" i="42"/>
  <c r="E203" i="42"/>
  <c r="F203" i="42"/>
  <c r="F222" i="42" s="1"/>
  <c r="S214" i="42" s="1"/>
  <c r="G203" i="42"/>
  <c r="G222" i="42" s="1"/>
  <c r="T214" i="42" s="1"/>
  <c r="H203" i="42"/>
  <c r="I203" i="42"/>
  <c r="J203" i="42"/>
  <c r="K203" i="42"/>
  <c r="L203" i="42"/>
  <c r="C204" i="42"/>
  <c r="D204" i="42"/>
  <c r="E204" i="42"/>
  <c r="E223" i="42" s="1"/>
  <c r="F204" i="42"/>
  <c r="G204" i="42"/>
  <c r="H204" i="42"/>
  <c r="I204" i="42"/>
  <c r="I223" i="42" s="1"/>
  <c r="J204" i="42"/>
  <c r="K204" i="42"/>
  <c r="L204" i="42"/>
  <c r="C205" i="42"/>
  <c r="D205" i="42"/>
  <c r="E205" i="42"/>
  <c r="F205" i="42"/>
  <c r="G205" i="42"/>
  <c r="H205" i="42"/>
  <c r="I205" i="42"/>
  <c r="J205" i="42"/>
  <c r="K205" i="42"/>
  <c r="L205" i="42"/>
  <c r="A208" i="42"/>
  <c r="O208" i="42" s="1"/>
  <c r="B208" i="42"/>
  <c r="C208" i="42"/>
  <c r="P208" i="42" s="1"/>
  <c r="F208" i="42"/>
  <c r="S208" i="42" s="1"/>
  <c r="G208" i="42"/>
  <c r="I208" i="42"/>
  <c r="V208" i="42" s="1"/>
  <c r="J208" i="42"/>
  <c r="W208" i="42" s="1"/>
  <c r="K208" i="42"/>
  <c r="X208" i="42" s="1"/>
  <c r="M208" i="42"/>
  <c r="T208" i="42"/>
  <c r="B209" i="42"/>
  <c r="C209" i="42"/>
  <c r="F209" i="42"/>
  <c r="G209" i="42"/>
  <c r="J209" i="42"/>
  <c r="K209" i="42"/>
  <c r="C210" i="42"/>
  <c r="D210" i="42"/>
  <c r="G210" i="42"/>
  <c r="H210" i="42"/>
  <c r="K210" i="42"/>
  <c r="L210" i="42"/>
  <c r="V210" i="42"/>
  <c r="Y210" i="42"/>
  <c r="D211" i="42"/>
  <c r="F211" i="42"/>
  <c r="H211" i="42"/>
  <c r="L211" i="42"/>
  <c r="Y211" i="42"/>
  <c r="D212" i="42"/>
  <c r="Q209" i="42" s="1"/>
  <c r="I212" i="42"/>
  <c r="V209" i="42" s="1"/>
  <c r="L212" i="42"/>
  <c r="Y209" i="42" s="1"/>
  <c r="S212" i="42"/>
  <c r="X212" i="42"/>
  <c r="F213" i="42"/>
  <c r="H213" i="42"/>
  <c r="I213" i="42"/>
  <c r="J213" i="42"/>
  <c r="E214" i="42"/>
  <c r="R210" i="42" s="1"/>
  <c r="F214" i="42"/>
  <c r="S210" i="42" s="1"/>
  <c r="G214" i="42"/>
  <c r="T210" i="42" s="1"/>
  <c r="R214" i="42"/>
  <c r="B215" i="42"/>
  <c r="C215" i="42"/>
  <c r="G215" i="42"/>
  <c r="I215" i="42"/>
  <c r="J215" i="42"/>
  <c r="K215" i="42"/>
  <c r="L215" i="42"/>
  <c r="C216" i="42"/>
  <c r="P211" i="42" s="1"/>
  <c r="D216" i="42"/>
  <c r="Q211" i="42" s="1"/>
  <c r="E216" i="42"/>
  <c r="R211" i="42" s="1"/>
  <c r="G216" i="42"/>
  <c r="T211" i="42" s="1"/>
  <c r="H216" i="42"/>
  <c r="U211" i="42" s="1"/>
  <c r="K216" i="42"/>
  <c r="X211" i="42" s="1"/>
  <c r="L216" i="42"/>
  <c r="B217" i="42"/>
  <c r="D217" i="42"/>
  <c r="G217" i="42"/>
  <c r="H217" i="42"/>
  <c r="I217" i="42"/>
  <c r="J217" i="42"/>
  <c r="L217" i="42"/>
  <c r="E218" i="42"/>
  <c r="R212" i="42" s="1"/>
  <c r="G218" i="42"/>
  <c r="T212" i="42" s="1"/>
  <c r="H218" i="42"/>
  <c r="U212" i="42" s="1"/>
  <c r="D219" i="42"/>
  <c r="E219" i="42"/>
  <c r="F219" i="42"/>
  <c r="I219" i="42"/>
  <c r="L219" i="42"/>
  <c r="C220" i="42"/>
  <c r="P213" i="42" s="1"/>
  <c r="E220" i="42"/>
  <c r="R213" i="42" s="1"/>
  <c r="G220" i="42"/>
  <c r="T213" i="42" s="1"/>
  <c r="I220" i="42"/>
  <c r="V213" i="42" s="1"/>
  <c r="J220" i="42"/>
  <c r="W213" i="42" s="1"/>
  <c r="K220" i="42"/>
  <c r="X213" i="42" s="1"/>
  <c r="C221" i="42"/>
  <c r="F221" i="42"/>
  <c r="G221" i="42"/>
  <c r="I221" i="42"/>
  <c r="K221" i="42"/>
  <c r="D222" i="42"/>
  <c r="Q214" i="42" s="1"/>
  <c r="E222" i="42"/>
  <c r="H222" i="42"/>
  <c r="U214" i="42" s="1"/>
  <c r="I222" i="42"/>
  <c r="V214" i="42" s="1"/>
  <c r="J222" i="42"/>
  <c r="W214" i="42" s="1"/>
  <c r="K222" i="42"/>
  <c r="X214" i="42" s="1"/>
  <c r="L222" i="42"/>
  <c r="Y214" i="42" s="1"/>
  <c r="D223" i="42"/>
  <c r="L223" i="42"/>
  <c r="K2" i="41"/>
  <c r="L2" i="41"/>
  <c r="M2" i="41"/>
  <c r="N2" i="41"/>
  <c r="O2" i="41"/>
  <c r="P2" i="41"/>
  <c r="Q2" i="41"/>
  <c r="R2" i="41"/>
  <c r="A3" i="41"/>
  <c r="K3" i="41" s="1"/>
  <c r="N3" i="41"/>
  <c r="Q3" i="41"/>
  <c r="C4" i="41"/>
  <c r="L3" i="41" s="1"/>
  <c r="D4" i="41"/>
  <c r="M3" i="41" s="1"/>
  <c r="E4" i="41"/>
  <c r="F4" i="41"/>
  <c r="O3" i="41" s="1"/>
  <c r="G4" i="41"/>
  <c r="P3" i="41" s="1"/>
  <c r="H4" i="41"/>
  <c r="I4" i="41"/>
  <c r="R3" i="41" s="1"/>
  <c r="R4" i="41"/>
  <c r="A5" i="41"/>
  <c r="K4" i="41" s="1"/>
  <c r="J5" i="41"/>
  <c r="P5" i="41"/>
  <c r="Q5" i="41"/>
  <c r="B6" i="41"/>
  <c r="C6" i="41"/>
  <c r="L4" i="41" s="1"/>
  <c r="D6" i="41"/>
  <c r="M4" i="41" s="1"/>
  <c r="E6" i="41"/>
  <c r="N4" i="41" s="1"/>
  <c r="F6" i="41"/>
  <c r="O4" i="41" s="1"/>
  <c r="G6" i="41"/>
  <c r="P4" i="41" s="1"/>
  <c r="H6" i="41"/>
  <c r="Q4" i="41" s="1"/>
  <c r="I6" i="41"/>
  <c r="A7" i="41"/>
  <c r="K5" i="41" s="1"/>
  <c r="J7" i="41"/>
  <c r="B8" i="41"/>
  <c r="C8" i="41"/>
  <c r="L5" i="41" s="1"/>
  <c r="D8" i="41"/>
  <c r="M5" i="41" s="1"/>
  <c r="E8" i="41"/>
  <c r="N5" i="41" s="1"/>
  <c r="F8" i="41"/>
  <c r="O5" i="41" s="1"/>
  <c r="G8" i="41"/>
  <c r="H8" i="41"/>
  <c r="I8" i="41"/>
  <c r="R5" i="41" s="1"/>
  <c r="B11" i="41"/>
  <c r="B12" i="41"/>
  <c r="C12" i="41"/>
  <c r="D12" i="41"/>
  <c r="D31" i="41" s="1"/>
  <c r="M31" i="41" s="1"/>
  <c r="E12" i="41"/>
  <c r="F12" i="41"/>
  <c r="G12" i="41"/>
  <c r="H12" i="41"/>
  <c r="I12" i="41"/>
  <c r="K12" i="41"/>
  <c r="L12" i="41"/>
  <c r="N12" i="41"/>
  <c r="O12" i="41"/>
  <c r="P12" i="41"/>
  <c r="Q12" i="41"/>
  <c r="R12" i="41"/>
  <c r="A13" i="41"/>
  <c r="C13" i="41"/>
  <c r="D13" i="41"/>
  <c r="D14" i="41" s="1"/>
  <c r="M13" i="41" s="1"/>
  <c r="E13" i="41"/>
  <c r="F13" i="41"/>
  <c r="G13" i="41"/>
  <c r="G14" i="41" s="1"/>
  <c r="P13" i="41" s="1"/>
  <c r="H13" i="41"/>
  <c r="I13" i="41"/>
  <c r="I14" i="41" s="1"/>
  <c r="R13" i="41" s="1"/>
  <c r="K13" i="41"/>
  <c r="C14" i="41"/>
  <c r="L13" i="41" s="1"/>
  <c r="E14" i="41"/>
  <c r="N13" i="41" s="1"/>
  <c r="F14" i="41"/>
  <c r="O13" i="41" s="1"/>
  <c r="H14" i="41"/>
  <c r="Q13" i="41" s="1"/>
  <c r="N14" i="41"/>
  <c r="O14" i="41"/>
  <c r="P14" i="41"/>
  <c r="R14" i="41"/>
  <c r="A15" i="41"/>
  <c r="K14" i="41" s="1"/>
  <c r="J15" i="41"/>
  <c r="L15" i="41"/>
  <c r="M15" i="41"/>
  <c r="O15" i="41"/>
  <c r="B16" i="41"/>
  <c r="C16" i="41"/>
  <c r="L14" i="41" s="1"/>
  <c r="D16" i="41"/>
  <c r="M14" i="41" s="1"/>
  <c r="E16" i="41"/>
  <c r="F16" i="41"/>
  <c r="G16" i="41"/>
  <c r="H16" i="41"/>
  <c r="Q14" i="41" s="1"/>
  <c r="M16" i="41"/>
  <c r="A17" i="41"/>
  <c r="K15" i="41" s="1"/>
  <c r="J17" i="41"/>
  <c r="K17" i="41"/>
  <c r="B18" i="41"/>
  <c r="C18" i="41"/>
  <c r="D18" i="41"/>
  <c r="E18" i="41"/>
  <c r="N15" i="41" s="1"/>
  <c r="F18" i="41"/>
  <c r="G18" i="41"/>
  <c r="P15" i="41" s="1"/>
  <c r="H18" i="41"/>
  <c r="Q15" i="41" s="1"/>
  <c r="I18" i="41"/>
  <c r="R15" i="41" s="1"/>
  <c r="K18" i="41"/>
  <c r="L18" i="41"/>
  <c r="P18" i="41"/>
  <c r="A19" i="41"/>
  <c r="K16" i="41" s="1"/>
  <c r="J19" i="41"/>
  <c r="N19" i="41"/>
  <c r="Q19" i="41"/>
  <c r="R19" i="41"/>
  <c r="B20" i="41"/>
  <c r="C20" i="41"/>
  <c r="L16" i="41" s="1"/>
  <c r="D20" i="41"/>
  <c r="E20" i="41"/>
  <c r="N16" i="41" s="1"/>
  <c r="F20" i="41"/>
  <c r="O16" i="41" s="1"/>
  <c r="G20" i="41"/>
  <c r="P16" i="41" s="1"/>
  <c r="H20" i="41"/>
  <c r="Q16" i="41" s="1"/>
  <c r="I20" i="41"/>
  <c r="R16" i="41" s="1"/>
  <c r="A21" i="41"/>
  <c r="J21" i="41"/>
  <c r="B22" i="41"/>
  <c r="C22" i="41"/>
  <c r="L17" i="41" s="1"/>
  <c r="D22" i="41"/>
  <c r="M17" i="41" s="1"/>
  <c r="E22" i="41"/>
  <c r="N17" i="41" s="1"/>
  <c r="F22" i="41"/>
  <c r="O17" i="41" s="1"/>
  <c r="G22" i="41"/>
  <c r="P17" i="41" s="1"/>
  <c r="H22" i="41"/>
  <c r="Q17" i="41" s="1"/>
  <c r="I22" i="41"/>
  <c r="R17" i="41" s="1"/>
  <c r="A23" i="41"/>
  <c r="J23" i="41"/>
  <c r="B24" i="41"/>
  <c r="C24" i="41"/>
  <c r="D24" i="41"/>
  <c r="M18" i="41" s="1"/>
  <c r="E24" i="41"/>
  <c r="N18" i="41" s="1"/>
  <c r="F24" i="41"/>
  <c r="O18" i="41" s="1"/>
  <c r="G24" i="41"/>
  <c r="H24" i="41"/>
  <c r="Q18" i="41" s="1"/>
  <c r="I24" i="41"/>
  <c r="R18" i="41" s="1"/>
  <c r="A25" i="41"/>
  <c r="K19" i="41" s="1"/>
  <c r="J25" i="41"/>
  <c r="B26" i="41"/>
  <c r="C26" i="41"/>
  <c r="L19" i="41" s="1"/>
  <c r="D26" i="41"/>
  <c r="M19" i="41" s="1"/>
  <c r="E26" i="41"/>
  <c r="F26" i="41"/>
  <c r="O19" i="41" s="1"/>
  <c r="G26" i="41"/>
  <c r="P19" i="41" s="1"/>
  <c r="H26" i="41"/>
  <c r="I26" i="41"/>
  <c r="A27" i="41"/>
  <c r="K20" i="41" s="1"/>
  <c r="J27" i="41"/>
  <c r="B28" i="41"/>
  <c r="C28" i="41"/>
  <c r="L20" i="41" s="1"/>
  <c r="D28" i="41"/>
  <c r="M20" i="41" s="1"/>
  <c r="E28" i="41"/>
  <c r="N20" i="41" s="1"/>
  <c r="F28" i="41"/>
  <c r="O20" i="41" s="1"/>
  <c r="G28" i="41"/>
  <c r="P20" i="41" s="1"/>
  <c r="H28" i="41"/>
  <c r="Q20" i="41" s="1"/>
  <c r="I28" i="41"/>
  <c r="R20" i="41" s="1"/>
  <c r="B30" i="41"/>
  <c r="B31" i="41"/>
  <c r="C31" i="41"/>
  <c r="E31" i="41"/>
  <c r="F31" i="41"/>
  <c r="G31" i="41"/>
  <c r="P31" i="41" s="1"/>
  <c r="H31" i="41"/>
  <c r="I31" i="41"/>
  <c r="K31" i="41"/>
  <c r="L31" i="41"/>
  <c r="N31" i="41"/>
  <c r="O31" i="41"/>
  <c r="Q31" i="41"/>
  <c r="R31" i="41"/>
  <c r="A32" i="41"/>
  <c r="C32" i="41"/>
  <c r="C33" i="41" s="1"/>
  <c r="L32" i="41" s="1"/>
  <c r="D32" i="41"/>
  <c r="E32" i="41"/>
  <c r="E33" i="41" s="1"/>
  <c r="N32" i="41" s="1"/>
  <c r="F32" i="41"/>
  <c r="G32" i="41"/>
  <c r="G33" i="41" s="1"/>
  <c r="P32" i="41" s="1"/>
  <c r="H32" i="41"/>
  <c r="I32" i="41"/>
  <c r="K32" i="41"/>
  <c r="D33" i="41"/>
  <c r="M32" i="41" s="1"/>
  <c r="F33" i="41"/>
  <c r="O32" i="41" s="1"/>
  <c r="H33" i="41"/>
  <c r="Q32" i="41" s="1"/>
  <c r="I33" i="41"/>
  <c r="R32" i="41" s="1"/>
  <c r="N33" i="41"/>
  <c r="Q33" i="41"/>
  <c r="A34" i="41"/>
  <c r="K33" i="41" s="1"/>
  <c r="J34" i="41"/>
  <c r="L34" i="41"/>
  <c r="O34" i="41"/>
  <c r="B35" i="41"/>
  <c r="C35" i="41"/>
  <c r="L33" i="41" s="1"/>
  <c r="D35" i="41"/>
  <c r="M33" i="41" s="1"/>
  <c r="E35" i="41"/>
  <c r="F35" i="41"/>
  <c r="O33" i="41" s="1"/>
  <c r="G35" i="41"/>
  <c r="P33" i="41" s="1"/>
  <c r="H35" i="41"/>
  <c r="I35" i="41"/>
  <c r="R33" i="41" s="1"/>
  <c r="O35" i="41"/>
  <c r="R35" i="41"/>
  <c r="A36" i="41"/>
  <c r="K34" i="41" s="1"/>
  <c r="J36" i="41"/>
  <c r="M36" i="41"/>
  <c r="P36" i="41"/>
  <c r="B37" i="41"/>
  <c r="C37" i="41"/>
  <c r="D37" i="41"/>
  <c r="M34" i="41" s="1"/>
  <c r="E37" i="41"/>
  <c r="N34" i="41" s="1"/>
  <c r="F37" i="41"/>
  <c r="G37" i="41"/>
  <c r="P34" i="41" s="1"/>
  <c r="H37" i="41"/>
  <c r="Q34" i="41" s="1"/>
  <c r="I37" i="41"/>
  <c r="R34" i="41" s="1"/>
  <c r="M37" i="41"/>
  <c r="N37" i="41"/>
  <c r="A38" i="41"/>
  <c r="K35" i="41" s="1"/>
  <c r="J38" i="41"/>
  <c r="B39" i="41"/>
  <c r="C39" i="41"/>
  <c r="L35" i="41" s="1"/>
  <c r="D39" i="41"/>
  <c r="M35" i="41" s="1"/>
  <c r="E39" i="41"/>
  <c r="N35" i="41" s="1"/>
  <c r="F39" i="41"/>
  <c r="G39" i="41"/>
  <c r="P35" i="41" s="1"/>
  <c r="H39" i="41"/>
  <c r="Q35" i="41" s="1"/>
  <c r="I39" i="41"/>
  <c r="A40" i="41"/>
  <c r="K36" i="41" s="1"/>
  <c r="J40" i="41"/>
  <c r="B41" i="41"/>
  <c r="C41" i="41"/>
  <c r="L36" i="41" s="1"/>
  <c r="D41" i="41"/>
  <c r="E41" i="41"/>
  <c r="N36" i="41" s="1"/>
  <c r="F41" i="41"/>
  <c r="O36" i="41" s="1"/>
  <c r="G41" i="41"/>
  <c r="H41" i="41"/>
  <c r="Q36" i="41" s="1"/>
  <c r="I41" i="41"/>
  <c r="R36" i="41" s="1"/>
  <c r="A42" i="41"/>
  <c r="K37" i="41" s="1"/>
  <c r="J42" i="41"/>
  <c r="B43" i="41"/>
  <c r="C43" i="41"/>
  <c r="L37" i="41" s="1"/>
  <c r="D43" i="41"/>
  <c r="E43" i="41"/>
  <c r="F43" i="41"/>
  <c r="O37" i="41" s="1"/>
  <c r="G43" i="41"/>
  <c r="P37" i="41" s="1"/>
  <c r="H43" i="41"/>
  <c r="Q37" i="41" s="1"/>
  <c r="I43" i="41"/>
  <c r="R37" i="41" s="1"/>
  <c r="B45" i="41"/>
  <c r="B46" i="41"/>
  <c r="C46" i="41"/>
  <c r="M46" i="41" s="1"/>
  <c r="L65" i="41" s="1"/>
  <c r="D46" i="41"/>
  <c r="E46" i="41"/>
  <c r="O46" i="41" s="1"/>
  <c r="N65" i="41" s="1"/>
  <c r="F46" i="41"/>
  <c r="G46" i="41"/>
  <c r="Q46" i="41" s="1"/>
  <c r="P65" i="41" s="1"/>
  <c r="H46" i="41"/>
  <c r="I46" i="41"/>
  <c r="S46" i="41" s="1"/>
  <c r="R65" i="41" s="1"/>
  <c r="K46" i="41"/>
  <c r="L46" i="41"/>
  <c r="N46" i="41"/>
  <c r="M65" i="41" s="1"/>
  <c r="P46" i="41"/>
  <c r="R46" i="41"/>
  <c r="A47" i="41"/>
  <c r="C47" i="41"/>
  <c r="D47" i="41"/>
  <c r="N47" i="41" s="1"/>
  <c r="E47" i="41"/>
  <c r="F47" i="41"/>
  <c r="P47" i="41" s="1"/>
  <c r="G47" i="41"/>
  <c r="H47" i="41"/>
  <c r="R47" i="41" s="1"/>
  <c r="I47" i="41"/>
  <c r="K47" i="41"/>
  <c r="L47" i="41"/>
  <c r="M47" i="41"/>
  <c r="O47" i="41"/>
  <c r="Q47" i="41"/>
  <c r="S47" i="41"/>
  <c r="C48" i="41"/>
  <c r="D48" i="41"/>
  <c r="N48" i="41" s="1"/>
  <c r="M66" i="41" s="1"/>
  <c r="E48" i="41"/>
  <c r="F48" i="41"/>
  <c r="G48" i="41"/>
  <c r="H48" i="41"/>
  <c r="I48" i="41"/>
  <c r="L48" i="41"/>
  <c r="M48" i="41"/>
  <c r="O48" i="41"/>
  <c r="P48" i="41"/>
  <c r="Q48" i="41"/>
  <c r="R48" i="41"/>
  <c r="S48" i="41"/>
  <c r="A49" i="41"/>
  <c r="K49" i="41" s="1"/>
  <c r="K67" i="41" s="1"/>
  <c r="B49" i="41"/>
  <c r="E50" i="41" s="1"/>
  <c r="O50" i="41" s="1"/>
  <c r="N67" i="41" s="1"/>
  <c r="T67" i="41" s="1"/>
  <c r="M49" i="41"/>
  <c r="N49" i="41"/>
  <c r="O49" i="41"/>
  <c r="P49" i="41"/>
  <c r="Q49" i="41"/>
  <c r="R49" i="41"/>
  <c r="S49" i="41"/>
  <c r="F50" i="41"/>
  <c r="G50" i="41"/>
  <c r="H50" i="41"/>
  <c r="P50" i="41"/>
  <c r="Q50" i="41"/>
  <c r="P67" i="41" s="1"/>
  <c r="R50" i="41"/>
  <c r="B51" i="41"/>
  <c r="A51" i="41" s="1"/>
  <c r="M51" i="41"/>
  <c r="N51" i="41"/>
  <c r="O51" i="41"/>
  <c r="P51" i="41"/>
  <c r="Q51" i="41"/>
  <c r="R51" i="41"/>
  <c r="S51" i="41"/>
  <c r="B52" i="41"/>
  <c r="D52" i="41"/>
  <c r="F52" i="41"/>
  <c r="H52" i="41"/>
  <c r="B53" i="41"/>
  <c r="F54" i="41" s="1"/>
  <c r="P52" i="41" s="1"/>
  <c r="O68" i="41" s="1"/>
  <c r="M53" i="41"/>
  <c r="N53" i="41"/>
  <c r="O53" i="41"/>
  <c r="P53" i="41"/>
  <c r="Q53" i="41"/>
  <c r="R53" i="41"/>
  <c r="S53" i="41"/>
  <c r="C54" i="41"/>
  <c r="M52" i="41" s="1"/>
  <c r="L68" i="41" s="1"/>
  <c r="B55" i="41"/>
  <c r="I56" i="41" s="1"/>
  <c r="S54" i="41" s="1"/>
  <c r="R69" i="41" s="1"/>
  <c r="M55" i="41"/>
  <c r="N55" i="41"/>
  <c r="O55" i="41"/>
  <c r="P55" i="41"/>
  <c r="Q55" i="41"/>
  <c r="R55" i="41"/>
  <c r="S55" i="41"/>
  <c r="B57" i="41"/>
  <c r="L55" i="41" s="1"/>
  <c r="M57" i="41"/>
  <c r="N57" i="41"/>
  <c r="O57" i="41"/>
  <c r="P57" i="41"/>
  <c r="Q57" i="41"/>
  <c r="R57" i="41"/>
  <c r="S57" i="41"/>
  <c r="B58" i="41"/>
  <c r="L56" i="41" s="1"/>
  <c r="H58" i="41"/>
  <c r="R56" i="41" s="1"/>
  <c r="Q70" i="41" s="1"/>
  <c r="B59" i="41"/>
  <c r="C60" i="41" s="1"/>
  <c r="M59" i="41"/>
  <c r="N59" i="41"/>
  <c r="O59" i="41"/>
  <c r="P59" i="41"/>
  <c r="Q59" i="41"/>
  <c r="R59" i="41"/>
  <c r="S59" i="41"/>
  <c r="B60" i="41"/>
  <c r="B61" i="41"/>
  <c r="B62" i="41" s="1"/>
  <c r="L58" i="41" s="1"/>
  <c r="M61" i="41"/>
  <c r="N61" i="41"/>
  <c r="O61" i="41"/>
  <c r="P61" i="41"/>
  <c r="Q61" i="41"/>
  <c r="R61" i="41"/>
  <c r="S61" i="41"/>
  <c r="C62" i="41"/>
  <c r="M58" i="41" s="1"/>
  <c r="L71" i="41" s="1"/>
  <c r="B63" i="41"/>
  <c r="F64" i="41" s="1"/>
  <c r="P60" i="41" s="1"/>
  <c r="O72" i="41" s="1"/>
  <c r="E64" i="41"/>
  <c r="O60" i="41" s="1"/>
  <c r="N72" i="41" s="1"/>
  <c r="T72" i="41" s="1"/>
  <c r="B65" i="41"/>
  <c r="D66" i="41" s="1"/>
  <c r="K65" i="41"/>
  <c r="O65" i="41"/>
  <c r="Q65" i="41"/>
  <c r="C66" i="41"/>
  <c r="G66" i="41"/>
  <c r="I66" i="41"/>
  <c r="K66" i="41"/>
  <c r="L66" i="41"/>
  <c r="S66" i="41" s="1"/>
  <c r="U66" i="41" s="1"/>
  <c r="N66" i="41"/>
  <c r="O66" i="41"/>
  <c r="P66" i="41"/>
  <c r="Q66" i="41"/>
  <c r="R66" i="41"/>
  <c r="T66" i="41"/>
  <c r="O67" i="41"/>
  <c r="Q67" i="41"/>
  <c r="I6" i="40"/>
  <c r="I9" i="40" s="1"/>
  <c r="I12" i="40" s="1"/>
  <c r="I15" i="40" s="1"/>
  <c r="I18" i="40" s="1"/>
  <c r="B22" i="40"/>
  <c r="J23" i="40"/>
  <c r="K23" i="40"/>
  <c r="L23" i="40"/>
  <c r="M23" i="40"/>
  <c r="N23" i="40"/>
  <c r="O23" i="40"/>
  <c r="P23" i="40"/>
  <c r="A24" i="40"/>
  <c r="A3" i="42" s="1"/>
  <c r="B24" i="40"/>
  <c r="C25" i="40" s="1"/>
  <c r="K24" i="40" s="1"/>
  <c r="J24" i="40"/>
  <c r="B25" i="40"/>
  <c r="H25" i="40"/>
  <c r="P24" i="40" s="1"/>
  <c r="A26" i="40"/>
  <c r="B26" i="40"/>
  <c r="D27" i="40" s="1"/>
  <c r="L25" i="40" s="1"/>
  <c r="B27" i="40"/>
  <c r="F27" i="40"/>
  <c r="N25" i="40" s="1"/>
  <c r="A28" i="40"/>
  <c r="B28" i="40"/>
  <c r="C29" i="40" s="1"/>
  <c r="K26" i="40" s="1"/>
  <c r="B29" i="40"/>
  <c r="B32" i="40"/>
  <c r="B51" i="40" s="1"/>
  <c r="B33" i="40"/>
  <c r="C33" i="40"/>
  <c r="K33" i="40" s="1"/>
  <c r="D33" i="40"/>
  <c r="L33" i="40" s="1"/>
  <c r="E33" i="40"/>
  <c r="M33" i="40" s="1"/>
  <c r="F33" i="40"/>
  <c r="F52" i="40" s="1"/>
  <c r="N52" i="40" s="1"/>
  <c r="G33" i="40"/>
  <c r="O33" i="40" s="1"/>
  <c r="J33" i="40"/>
  <c r="P33" i="40"/>
  <c r="A34" i="40"/>
  <c r="A32" i="42" s="1"/>
  <c r="B34" i="40"/>
  <c r="C34" i="40"/>
  <c r="C35" i="40" s="1"/>
  <c r="K34" i="40" s="1"/>
  <c r="D34" i="40"/>
  <c r="E34" i="40"/>
  <c r="F34" i="40"/>
  <c r="G34" i="40"/>
  <c r="H34" i="40"/>
  <c r="J34" i="40"/>
  <c r="B35" i="40"/>
  <c r="J35" i="40"/>
  <c r="K35" i="40"/>
  <c r="Q35" i="40" s="1"/>
  <c r="A36" i="40"/>
  <c r="A34" i="42" s="1"/>
  <c r="B36" i="40"/>
  <c r="B37" i="40"/>
  <c r="C37" i="40"/>
  <c r="D37" i="40"/>
  <c r="L35" i="40" s="1"/>
  <c r="E37" i="40"/>
  <c r="M35" i="40" s="1"/>
  <c r="R35" i="40" s="1"/>
  <c r="F37" i="40"/>
  <c r="N35" i="40" s="1"/>
  <c r="G37" i="40"/>
  <c r="O35" i="40" s="1"/>
  <c r="H37" i="40"/>
  <c r="P35" i="40" s="1"/>
  <c r="A38" i="40"/>
  <c r="B38" i="40"/>
  <c r="G39" i="40" s="1"/>
  <c r="O36" i="40" s="1"/>
  <c r="B39" i="40"/>
  <c r="A40" i="40"/>
  <c r="B40" i="40"/>
  <c r="B41" i="40"/>
  <c r="C41" i="40"/>
  <c r="K37" i="40" s="1"/>
  <c r="G41" i="40"/>
  <c r="O37" i="40" s="1"/>
  <c r="H41" i="40"/>
  <c r="P37" i="40" s="1"/>
  <c r="L41" i="40"/>
  <c r="A42" i="40"/>
  <c r="B42" i="40"/>
  <c r="C43" i="40" s="1"/>
  <c r="K38" i="40" s="1"/>
  <c r="Q38" i="40" s="1"/>
  <c r="S38" i="40" s="1"/>
  <c r="B43" i="40"/>
  <c r="D43" i="40"/>
  <c r="L38" i="40" s="1"/>
  <c r="E43" i="40"/>
  <c r="M38" i="40" s="1"/>
  <c r="R38" i="40" s="1"/>
  <c r="F43" i="40"/>
  <c r="N38" i="40" s="1"/>
  <c r="G43" i="40"/>
  <c r="O38" i="40" s="1"/>
  <c r="H43" i="40"/>
  <c r="P38" i="40" s="1"/>
  <c r="A44" i="40"/>
  <c r="B44" i="40"/>
  <c r="B45" i="40"/>
  <c r="D45" i="40"/>
  <c r="L39" i="40" s="1"/>
  <c r="E45" i="40"/>
  <c r="I14" i="40" s="1"/>
  <c r="J14" i="40" s="1"/>
  <c r="F45" i="40"/>
  <c r="N39" i="40" s="1"/>
  <c r="G45" i="40"/>
  <c r="O39" i="40" s="1"/>
  <c r="H45" i="40"/>
  <c r="P39" i="40" s="1"/>
  <c r="A46" i="40"/>
  <c r="B46" i="40"/>
  <c r="B47" i="40"/>
  <c r="D47" i="40"/>
  <c r="L40" i="40" s="1"/>
  <c r="E47" i="40"/>
  <c r="I17" i="40" s="1"/>
  <c r="J17" i="40" s="1"/>
  <c r="F47" i="40"/>
  <c r="N40" i="40" s="1"/>
  <c r="G47" i="40"/>
  <c r="O40" i="40" s="1"/>
  <c r="H47" i="40"/>
  <c r="P40" i="40" s="1"/>
  <c r="A48" i="40"/>
  <c r="A46" i="42" s="1"/>
  <c r="B48" i="40"/>
  <c r="B49" i="40"/>
  <c r="C49" i="40"/>
  <c r="I19" i="40" s="1"/>
  <c r="J19" i="40" s="1"/>
  <c r="D49" i="40"/>
  <c r="E49" i="40"/>
  <c r="M41" i="40" s="1"/>
  <c r="F49" i="40"/>
  <c r="N41" i="40" s="1"/>
  <c r="G49" i="40"/>
  <c r="O41" i="40" s="1"/>
  <c r="H49" i="40"/>
  <c r="P41" i="40" s="1"/>
  <c r="B52" i="40"/>
  <c r="D52" i="40"/>
  <c r="L52" i="40" s="1"/>
  <c r="E52" i="40"/>
  <c r="M52" i="40" s="1"/>
  <c r="G52" i="40"/>
  <c r="O52" i="40" s="1"/>
  <c r="H52" i="40"/>
  <c r="P52" i="40" s="1"/>
  <c r="J52" i="40"/>
  <c r="A53" i="40"/>
  <c r="A91" i="42" s="1"/>
  <c r="B53" i="40"/>
  <c r="C53" i="40"/>
  <c r="D53" i="40"/>
  <c r="D54" i="40" s="1"/>
  <c r="L53" i="40" s="1"/>
  <c r="E53" i="40"/>
  <c r="F53" i="40"/>
  <c r="F54" i="40" s="1"/>
  <c r="N53" i="40" s="1"/>
  <c r="G53" i="40"/>
  <c r="H53" i="40"/>
  <c r="J53" i="40"/>
  <c r="B54" i="40"/>
  <c r="C54" i="40"/>
  <c r="K53" i="40" s="1"/>
  <c r="Q53" i="40" s="1"/>
  <c r="E54" i="40"/>
  <c r="M53" i="40" s="1"/>
  <c r="G54" i="40"/>
  <c r="O53" i="40" s="1"/>
  <c r="H54" i="40"/>
  <c r="P53" i="40" s="1"/>
  <c r="A55" i="40"/>
  <c r="B55" i="40"/>
  <c r="B56" i="40"/>
  <c r="F56" i="40"/>
  <c r="N54" i="40" s="1"/>
  <c r="A57" i="40"/>
  <c r="A95" i="42" s="1"/>
  <c r="A95" i="43" s="1"/>
  <c r="A95" i="44" s="1"/>
  <c r="B57" i="40"/>
  <c r="C58" i="40" s="1"/>
  <c r="K55" i="40" s="1"/>
  <c r="B58" i="40"/>
  <c r="A59" i="40"/>
  <c r="B59" i="40"/>
  <c r="C60" i="40" s="1"/>
  <c r="K56" i="40" s="1"/>
  <c r="B60" i="40"/>
  <c r="A61" i="40"/>
  <c r="B61" i="40"/>
  <c r="E62" i="40" s="1"/>
  <c r="M57" i="40" s="1"/>
  <c r="B62" i="40"/>
  <c r="A63" i="40"/>
  <c r="A101" i="42" s="1"/>
  <c r="B63" i="40"/>
  <c r="E64" i="40" s="1"/>
  <c r="M58" i="40" s="1"/>
  <c r="B64" i="40"/>
  <c r="D64" i="40"/>
  <c r="L58" i="40" s="1"/>
  <c r="B66" i="40"/>
  <c r="B67" i="40"/>
  <c r="C67" i="40"/>
  <c r="D67" i="40"/>
  <c r="E67" i="40"/>
  <c r="F67" i="40"/>
  <c r="O67" i="40" s="1"/>
  <c r="N86" i="40" s="1"/>
  <c r="G67" i="40"/>
  <c r="H67" i="40"/>
  <c r="J67" i="40"/>
  <c r="K67" i="40"/>
  <c r="L67" i="40"/>
  <c r="M67" i="40"/>
  <c r="N67" i="40"/>
  <c r="P67" i="40"/>
  <c r="Q67" i="40"/>
  <c r="C68" i="40"/>
  <c r="L68" i="40" s="1"/>
  <c r="D68" i="40"/>
  <c r="D69" i="40" s="1"/>
  <c r="M69" i="40" s="1"/>
  <c r="L87" i="40" s="1"/>
  <c r="E68" i="40"/>
  <c r="E69" i="40" s="1"/>
  <c r="N69" i="40" s="1"/>
  <c r="M87" i="40" s="1"/>
  <c r="F68" i="40"/>
  <c r="F69" i="40" s="1"/>
  <c r="O69" i="40" s="1"/>
  <c r="N87" i="40" s="1"/>
  <c r="G68" i="40"/>
  <c r="G69" i="40" s="1"/>
  <c r="P69" i="40" s="1"/>
  <c r="O87" i="40" s="1"/>
  <c r="H68" i="40"/>
  <c r="H69" i="40" s="1"/>
  <c r="Q69" i="40" s="1"/>
  <c r="P87" i="40" s="1"/>
  <c r="K68" i="40"/>
  <c r="M68" i="40"/>
  <c r="N68" i="40"/>
  <c r="Q68" i="40"/>
  <c r="C69" i="40"/>
  <c r="L69" i="40" s="1"/>
  <c r="K87" i="40" s="1"/>
  <c r="K69" i="40"/>
  <c r="A70" i="40"/>
  <c r="A140" i="42" s="1"/>
  <c r="A188" i="42" s="1"/>
  <c r="A211" i="42" s="1"/>
  <c r="O209" i="42" s="1"/>
  <c r="J70" i="40"/>
  <c r="J88" i="40" s="1"/>
  <c r="K70" i="40"/>
  <c r="L70" i="40"/>
  <c r="M70" i="40"/>
  <c r="N70" i="40"/>
  <c r="O70" i="40"/>
  <c r="P70" i="40"/>
  <c r="Q70" i="40"/>
  <c r="B71" i="40"/>
  <c r="C71" i="40"/>
  <c r="L71" i="40" s="1"/>
  <c r="K88" i="40" s="1"/>
  <c r="D71" i="40"/>
  <c r="M71" i="40" s="1"/>
  <c r="L88" i="40" s="1"/>
  <c r="E71" i="40"/>
  <c r="N71" i="40" s="1"/>
  <c r="M88" i="40" s="1"/>
  <c r="F71" i="40"/>
  <c r="G71" i="40"/>
  <c r="H71" i="40"/>
  <c r="Q71" i="40" s="1"/>
  <c r="P88" i="40" s="1"/>
  <c r="O71" i="40"/>
  <c r="N88" i="40" s="1"/>
  <c r="P71" i="40"/>
  <c r="O88" i="40" s="1"/>
  <c r="A72" i="40"/>
  <c r="A142" i="42" s="1"/>
  <c r="A142" i="43" s="1"/>
  <c r="K72" i="40"/>
  <c r="L72" i="40"/>
  <c r="M72" i="40"/>
  <c r="N72" i="40"/>
  <c r="O72" i="40"/>
  <c r="P72" i="40"/>
  <c r="Q72" i="40"/>
  <c r="B73" i="40"/>
  <c r="C73" i="40"/>
  <c r="D73" i="40"/>
  <c r="E73" i="40"/>
  <c r="F73" i="40"/>
  <c r="G73" i="40"/>
  <c r="H73" i="40"/>
  <c r="A74" i="40"/>
  <c r="A144" i="42" s="1"/>
  <c r="A144" i="43" s="1"/>
  <c r="K74" i="40"/>
  <c r="L74" i="40"/>
  <c r="M74" i="40"/>
  <c r="N74" i="40"/>
  <c r="O74" i="40"/>
  <c r="P74" i="40"/>
  <c r="Q74" i="40"/>
  <c r="B75" i="40"/>
  <c r="C75" i="40"/>
  <c r="L73" i="40" s="1"/>
  <c r="K89" i="40" s="1"/>
  <c r="D75" i="40"/>
  <c r="M73" i="40" s="1"/>
  <c r="L89" i="40" s="1"/>
  <c r="E75" i="40"/>
  <c r="N73" i="40" s="1"/>
  <c r="M89" i="40" s="1"/>
  <c r="F75" i="40"/>
  <c r="O73" i="40" s="1"/>
  <c r="N89" i="40" s="1"/>
  <c r="G75" i="40"/>
  <c r="P73" i="40" s="1"/>
  <c r="O89" i="40" s="1"/>
  <c r="H75" i="40"/>
  <c r="Q73" i="40" s="1"/>
  <c r="P89" i="40" s="1"/>
  <c r="A76" i="40"/>
  <c r="A146" i="42" s="1"/>
  <c r="K76" i="40"/>
  <c r="L76" i="40"/>
  <c r="M76" i="40"/>
  <c r="N76" i="40"/>
  <c r="O76" i="40"/>
  <c r="P76" i="40"/>
  <c r="Q76" i="40"/>
  <c r="B77" i="40"/>
  <c r="C77" i="40"/>
  <c r="L75" i="40" s="1"/>
  <c r="K90" i="40" s="1"/>
  <c r="D77" i="40"/>
  <c r="M75" i="40" s="1"/>
  <c r="L90" i="40" s="1"/>
  <c r="E77" i="40"/>
  <c r="N75" i="40" s="1"/>
  <c r="M90" i="40" s="1"/>
  <c r="F77" i="40"/>
  <c r="O75" i="40" s="1"/>
  <c r="N90" i="40" s="1"/>
  <c r="G77" i="40"/>
  <c r="P75" i="40" s="1"/>
  <c r="O90" i="40" s="1"/>
  <c r="H77" i="40"/>
  <c r="Q75" i="40" s="1"/>
  <c r="P90" i="40" s="1"/>
  <c r="A78" i="40"/>
  <c r="J76" i="40" s="1"/>
  <c r="J91" i="40" s="1"/>
  <c r="K78" i="40"/>
  <c r="L78" i="40"/>
  <c r="M78" i="40"/>
  <c r="N78" i="40"/>
  <c r="O78" i="40"/>
  <c r="P78" i="40"/>
  <c r="Q78" i="40"/>
  <c r="B79" i="40"/>
  <c r="B149" i="42" s="1"/>
  <c r="C79" i="40"/>
  <c r="L77" i="40" s="1"/>
  <c r="K91" i="40" s="1"/>
  <c r="D79" i="40"/>
  <c r="M77" i="40" s="1"/>
  <c r="L91" i="40" s="1"/>
  <c r="E79" i="40"/>
  <c r="N77" i="40" s="1"/>
  <c r="M91" i="40" s="1"/>
  <c r="F79" i="40"/>
  <c r="O77" i="40" s="1"/>
  <c r="N91" i="40" s="1"/>
  <c r="G79" i="40"/>
  <c r="P77" i="40" s="1"/>
  <c r="O91" i="40" s="1"/>
  <c r="H79" i="40"/>
  <c r="Q77" i="40" s="1"/>
  <c r="P91" i="40" s="1"/>
  <c r="K79" i="40"/>
  <c r="N79" i="40"/>
  <c r="M92" i="40" s="1"/>
  <c r="R92" i="40" s="1"/>
  <c r="A80" i="40"/>
  <c r="A150" i="42" s="1"/>
  <c r="A150" i="43" s="1"/>
  <c r="K80" i="40"/>
  <c r="L80" i="40"/>
  <c r="M80" i="40"/>
  <c r="N80" i="40"/>
  <c r="O80" i="40"/>
  <c r="P80" i="40"/>
  <c r="Q80" i="40"/>
  <c r="B81" i="40"/>
  <c r="C81" i="40"/>
  <c r="D81" i="40"/>
  <c r="E81" i="40"/>
  <c r="F81" i="40"/>
  <c r="G81" i="40"/>
  <c r="H81" i="40"/>
  <c r="L81" i="40"/>
  <c r="K93" i="40" s="1"/>
  <c r="A82" i="40"/>
  <c r="J78" i="40" s="1"/>
  <c r="J92" i="40" s="1"/>
  <c r="K82" i="40"/>
  <c r="K83" i="40" s="1"/>
  <c r="L82" i="40"/>
  <c r="L83" i="40" s="1"/>
  <c r="K94" i="40" s="1"/>
  <c r="M82" i="40"/>
  <c r="M83" i="40" s="1"/>
  <c r="L94" i="40" s="1"/>
  <c r="N82" i="40"/>
  <c r="N83" i="40" s="1"/>
  <c r="M94" i="40" s="1"/>
  <c r="O82" i="40"/>
  <c r="O83" i="40" s="1"/>
  <c r="N94" i="40" s="1"/>
  <c r="P82" i="40"/>
  <c r="Q82" i="40"/>
  <c r="B83" i="40"/>
  <c r="C83" i="40"/>
  <c r="L79" i="40" s="1"/>
  <c r="K92" i="40" s="1"/>
  <c r="D83" i="40"/>
  <c r="M79" i="40" s="1"/>
  <c r="L92" i="40" s="1"/>
  <c r="E83" i="40"/>
  <c r="F83" i="40"/>
  <c r="O79" i="40" s="1"/>
  <c r="N92" i="40" s="1"/>
  <c r="G83" i="40"/>
  <c r="P79" i="40" s="1"/>
  <c r="O92" i="40" s="1"/>
  <c r="H83" i="40"/>
  <c r="Q79" i="40" s="1"/>
  <c r="P92" i="40" s="1"/>
  <c r="A84" i="40"/>
  <c r="B85" i="40"/>
  <c r="C85" i="40"/>
  <c r="D85" i="40"/>
  <c r="M81" i="40" s="1"/>
  <c r="L93" i="40" s="1"/>
  <c r="E85" i="40"/>
  <c r="N81" i="40" s="1"/>
  <c r="M93" i="40" s="1"/>
  <c r="F85" i="40"/>
  <c r="O81" i="40" s="1"/>
  <c r="N93" i="40" s="1"/>
  <c r="G85" i="40"/>
  <c r="P81" i="40" s="1"/>
  <c r="O93" i="40" s="1"/>
  <c r="H85" i="40"/>
  <c r="Q81" i="40" s="1"/>
  <c r="P93" i="40" s="1"/>
  <c r="A86" i="40"/>
  <c r="A156" i="42" s="1"/>
  <c r="J86" i="40"/>
  <c r="K86" i="40"/>
  <c r="L86" i="40"/>
  <c r="M86" i="40"/>
  <c r="O86" i="40"/>
  <c r="P86" i="40"/>
  <c r="B87" i="40"/>
  <c r="C87" i="40"/>
  <c r="D87" i="40"/>
  <c r="E87" i="40"/>
  <c r="F87" i="40"/>
  <c r="G87" i="40"/>
  <c r="H87" i="40"/>
  <c r="A3" i="39"/>
  <c r="C3" i="39"/>
  <c r="D3" i="39"/>
  <c r="E3" i="39"/>
  <c r="F3" i="39"/>
  <c r="G3" i="39"/>
  <c r="H3" i="39"/>
  <c r="I3" i="39"/>
  <c r="I4" i="39" s="1"/>
  <c r="J3" i="39"/>
  <c r="J4" i="39" s="1"/>
  <c r="K3" i="39"/>
  <c r="L3" i="39"/>
  <c r="M3" i="39"/>
  <c r="N3" i="39"/>
  <c r="C4" i="39"/>
  <c r="D4" i="39"/>
  <c r="E4" i="39"/>
  <c r="F4" i="39"/>
  <c r="G4" i="39"/>
  <c r="H4" i="39"/>
  <c r="K4" i="39"/>
  <c r="L4" i="39"/>
  <c r="M4" i="39"/>
  <c r="N4" i="39"/>
  <c r="A5" i="39"/>
  <c r="P5" i="39"/>
  <c r="Q5" i="39"/>
  <c r="B6" i="39"/>
  <c r="C6" i="39"/>
  <c r="D6" i="39"/>
  <c r="E6" i="39"/>
  <c r="F6" i="39"/>
  <c r="G6" i="39"/>
  <c r="H6" i="39"/>
  <c r="I6" i="39"/>
  <c r="J6" i="39"/>
  <c r="K6" i="39"/>
  <c r="L6" i="39"/>
  <c r="M6" i="39"/>
  <c r="N6" i="39"/>
  <c r="A7" i="39"/>
  <c r="P7" i="39"/>
  <c r="Q7" i="39"/>
  <c r="B8" i="39"/>
  <c r="C8" i="39"/>
  <c r="D8" i="39"/>
  <c r="E8" i="39"/>
  <c r="F8" i="39"/>
  <c r="G8" i="39"/>
  <c r="H8" i="39"/>
  <c r="I8" i="39"/>
  <c r="J8" i="39"/>
  <c r="K8" i="39"/>
  <c r="L8" i="39"/>
  <c r="M8" i="39"/>
  <c r="N8" i="39"/>
  <c r="A12" i="39"/>
  <c r="Q12" i="39" s="1"/>
  <c r="B12" i="39"/>
  <c r="R12" i="39"/>
  <c r="S12" i="39"/>
  <c r="T12" i="39"/>
  <c r="U12" i="39"/>
  <c r="V12" i="39"/>
  <c r="W12" i="39"/>
  <c r="X12" i="39"/>
  <c r="Y12" i="39"/>
  <c r="Z12" i="39"/>
  <c r="AA12" i="39"/>
  <c r="AB12" i="39"/>
  <c r="AC12" i="39"/>
  <c r="A13" i="39"/>
  <c r="B13" i="39"/>
  <c r="P13" i="39"/>
  <c r="R13" i="39"/>
  <c r="S13" i="39"/>
  <c r="T13" i="39"/>
  <c r="U13" i="39"/>
  <c r="V13" i="39"/>
  <c r="W13" i="39"/>
  <c r="X13" i="39"/>
  <c r="Y13" i="39"/>
  <c r="Z13" i="39"/>
  <c r="AA13" i="39"/>
  <c r="AB13" i="39"/>
  <c r="AC13" i="39"/>
  <c r="B14" i="39"/>
  <c r="R14" i="39"/>
  <c r="S14" i="39"/>
  <c r="T14" i="39"/>
  <c r="U14" i="39"/>
  <c r="V14" i="39"/>
  <c r="W14" i="39"/>
  <c r="X14" i="39"/>
  <c r="Y14" i="39"/>
  <c r="Z14" i="39"/>
  <c r="AA14" i="39"/>
  <c r="AB14" i="39"/>
  <c r="AC14" i="39"/>
  <c r="A15" i="39"/>
  <c r="Q13" i="39" s="1"/>
  <c r="B15" i="39"/>
  <c r="B16" i="39"/>
  <c r="A17" i="39"/>
  <c r="Q14" i="39" s="1"/>
  <c r="B17" i="39"/>
  <c r="B18" i="39"/>
  <c r="B21" i="39"/>
  <c r="B22" i="39"/>
  <c r="C22" i="39"/>
  <c r="D22" i="39"/>
  <c r="E22" i="39"/>
  <c r="F22" i="39"/>
  <c r="G22" i="39"/>
  <c r="H22" i="39"/>
  <c r="I22" i="39"/>
  <c r="J22" i="39"/>
  <c r="K22" i="39"/>
  <c r="L22" i="39"/>
  <c r="M22" i="39"/>
  <c r="N22" i="39"/>
  <c r="A23" i="39"/>
  <c r="B23" i="39"/>
  <c r="C23" i="39"/>
  <c r="D23" i="39"/>
  <c r="E23" i="39"/>
  <c r="P23" i="39" s="1"/>
  <c r="F23" i="39"/>
  <c r="F24" i="39" s="1"/>
  <c r="G23" i="39"/>
  <c r="H23" i="39"/>
  <c r="I23" i="39"/>
  <c r="J23" i="39"/>
  <c r="K23" i="39"/>
  <c r="L23" i="39"/>
  <c r="M23" i="39"/>
  <c r="M24" i="39" s="1"/>
  <c r="N23" i="39"/>
  <c r="N24" i="39" s="1"/>
  <c r="C24" i="39"/>
  <c r="D24" i="39"/>
  <c r="G24" i="39"/>
  <c r="H24" i="39"/>
  <c r="I24" i="39"/>
  <c r="J24" i="39"/>
  <c r="K24" i="39"/>
  <c r="L24" i="39"/>
  <c r="A25" i="39"/>
  <c r="P25" i="39"/>
  <c r="Q25" i="39" s="1"/>
  <c r="B26" i="39"/>
  <c r="C26" i="39"/>
  <c r="D26" i="39"/>
  <c r="E26" i="39"/>
  <c r="F26" i="39"/>
  <c r="G26" i="39"/>
  <c r="H26" i="39"/>
  <c r="I26" i="39"/>
  <c r="J26" i="39"/>
  <c r="K26" i="39"/>
  <c r="L26" i="39"/>
  <c r="M26" i="39"/>
  <c r="N26" i="39"/>
  <c r="A27" i="39"/>
  <c r="P27" i="39"/>
  <c r="Q27" i="39" s="1"/>
  <c r="B28" i="39"/>
  <c r="C28" i="39"/>
  <c r="D28" i="39"/>
  <c r="E28" i="39"/>
  <c r="F28" i="39"/>
  <c r="G28" i="39"/>
  <c r="H28" i="39"/>
  <c r="I28" i="39"/>
  <c r="J28" i="39"/>
  <c r="K28" i="39"/>
  <c r="L28" i="39"/>
  <c r="M28" i="39"/>
  <c r="N28" i="39"/>
  <c r="A29" i="39"/>
  <c r="P29" i="39"/>
  <c r="Q29" i="39" s="1"/>
  <c r="B30" i="39"/>
  <c r="C30" i="39"/>
  <c r="D30" i="39"/>
  <c r="E30" i="39"/>
  <c r="F30" i="39"/>
  <c r="G30" i="39"/>
  <c r="H30" i="39"/>
  <c r="I30" i="39"/>
  <c r="J30" i="39"/>
  <c r="K30" i="39"/>
  <c r="L30" i="39"/>
  <c r="M30" i="39"/>
  <c r="N30" i="39"/>
  <c r="A31" i="39"/>
  <c r="P31" i="39"/>
  <c r="Q31" i="39" s="1"/>
  <c r="B32" i="39"/>
  <c r="C32" i="39"/>
  <c r="D32" i="39"/>
  <c r="E32" i="39"/>
  <c r="F32" i="39"/>
  <c r="G32" i="39"/>
  <c r="H32" i="39"/>
  <c r="I32" i="39"/>
  <c r="J32" i="39"/>
  <c r="K32" i="39"/>
  <c r="L32" i="39"/>
  <c r="M32" i="39"/>
  <c r="N32" i="39"/>
  <c r="A33" i="39"/>
  <c r="P33" i="39"/>
  <c r="Q33" i="39" s="1"/>
  <c r="B34" i="39"/>
  <c r="C34" i="39"/>
  <c r="D34" i="39"/>
  <c r="E34" i="39"/>
  <c r="F34" i="39"/>
  <c r="G34" i="39"/>
  <c r="H34" i="39"/>
  <c r="I34" i="39"/>
  <c r="J34" i="39"/>
  <c r="K34" i="39"/>
  <c r="L34" i="39"/>
  <c r="M34" i="39"/>
  <c r="N34" i="39"/>
  <c r="A35" i="39"/>
  <c r="P35" i="39"/>
  <c r="Q35" i="39" s="1"/>
  <c r="B36" i="39"/>
  <c r="C36" i="39"/>
  <c r="D36" i="39"/>
  <c r="E36" i="39"/>
  <c r="F36" i="39"/>
  <c r="G36" i="39"/>
  <c r="H36" i="39"/>
  <c r="I36" i="39"/>
  <c r="J36" i="39"/>
  <c r="K36" i="39"/>
  <c r="L36" i="39"/>
  <c r="M36" i="39"/>
  <c r="N36" i="39"/>
  <c r="A37" i="39"/>
  <c r="P37" i="39"/>
  <c r="Q37" i="39" s="1"/>
  <c r="B38" i="39"/>
  <c r="C38" i="39"/>
  <c r="D38" i="39"/>
  <c r="E38" i="39"/>
  <c r="F38" i="39"/>
  <c r="G38" i="39"/>
  <c r="H38" i="39"/>
  <c r="I38" i="39"/>
  <c r="J38" i="39"/>
  <c r="K38" i="39"/>
  <c r="L38" i="39"/>
  <c r="M38" i="39"/>
  <c r="N38" i="39"/>
  <c r="A42" i="39"/>
  <c r="Q42" i="39" s="1"/>
  <c r="B42" i="39"/>
  <c r="B78" i="39" s="1"/>
  <c r="R42" i="39"/>
  <c r="S42" i="39"/>
  <c r="T42" i="39"/>
  <c r="U42" i="39"/>
  <c r="V42" i="39"/>
  <c r="W42" i="39"/>
  <c r="X42" i="39"/>
  <c r="Y42" i="39"/>
  <c r="Z42" i="39"/>
  <c r="AA42" i="39"/>
  <c r="AB42" i="39"/>
  <c r="AC42" i="39"/>
  <c r="A43" i="39"/>
  <c r="B43" i="39"/>
  <c r="P43" i="39"/>
  <c r="R43" i="39"/>
  <c r="S43" i="39"/>
  <c r="T43" i="39"/>
  <c r="U43" i="39"/>
  <c r="V43" i="39"/>
  <c r="W43" i="39"/>
  <c r="X43" i="39"/>
  <c r="Y43" i="39"/>
  <c r="Z43" i="39"/>
  <c r="AA43" i="39"/>
  <c r="AB43" i="39"/>
  <c r="AC43" i="39"/>
  <c r="B44" i="39"/>
  <c r="Q44" i="39"/>
  <c r="R44" i="39"/>
  <c r="S44" i="39"/>
  <c r="T44" i="39"/>
  <c r="U44" i="39"/>
  <c r="V44" i="39"/>
  <c r="W44" i="39"/>
  <c r="X44" i="39"/>
  <c r="Y44" i="39"/>
  <c r="Z44" i="39"/>
  <c r="AA44" i="39"/>
  <c r="AB44" i="39"/>
  <c r="AC44" i="39"/>
  <c r="A45" i="39"/>
  <c r="Q43" i="39" s="1"/>
  <c r="B45" i="39"/>
  <c r="R45" i="39"/>
  <c r="S45" i="39"/>
  <c r="T45" i="39"/>
  <c r="U45" i="39"/>
  <c r="V45" i="39"/>
  <c r="W45" i="39"/>
  <c r="X45" i="39"/>
  <c r="Y45" i="39"/>
  <c r="Z45" i="39"/>
  <c r="AA45" i="39"/>
  <c r="AB45" i="39"/>
  <c r="AC45" i="39"/>
  <c r="B46" i="39"/>
  <c r="R46" i="39"/>
  <c r="S46" i="39"/>
  <c r="T46" i="39"/>
  <c r="U46" i="39"/>
  <c r="V46" i="39"/>
  <c r="W46" i="39"/>
  <c r="X46" i="39"/>
  <c r="Y46" i="39"/>
  <c r="Z46" i="39"/>
  <c r="AA46" i="39"/>
  <c r="AB46" i="39"/>
  <c r="AC46" i="39"/>
  <c r="A47" i="39"/>
  <c r="B47" i="39"/>
  <c r="R47" i="39"/>
  <c r="S47" i="39"/>
  <c r="T47" i="39"/>
  <c r="U47" i="39"/>
  <c r="V47" i="39"/>
  <c r="W47" i="39"/>
  <c r="X47" i="39"/>
  <c r="Y47" i="39"/>
  <c r="Z47" i="39"/>
  <c r="AA47" i="39"/>
  <c r="AB47" i="39"/>
  <c r="AC47" i="39"/>
  <c r="B48" i="39"/>
  <c r="R48" i="39"/>
  <c r="S48" i="39"/>
  <c r="T48" i="39"/>
  <c r="U48" i="39"/>
  <c r="V48" i="39"/>
  <c r="W48" i="39"/>
  <c r="X48" i="39"/>
  <c r="Y48" i="39"/>
  <c r="Z48" i="39"/>
  <c r="AA48" i="39"/>
  <c r="AB48" i="39"/>
  <c r="AC48" i="39"/>
  <c r="A49" i="39"/>
  <c r="Q45" i="39" s="1"/>
  <c r="B49" i="39"/>
  <c r="Q49" i="39"/>
  <c r="R49" i="39"/>
  <c r="S49" i="39"/>
  <c r="T49" i="39"/>
  <c r="U49" i="39"/>
  <c r="V49" i="39"/>
  <c r="W49" i="39"/>
  <c r="X49" i="39"/>
  <c r="Y49" i="39"/>
  <c r="Z49" i="39"/>
  <c r="AA49" i="39"/>
  <c r="AB49" i="39"/>
  <c r="AC49" i="39"/>
  <c r="B50" i="39"/>
  <c r="A51" i="39"/>
  <c r="Q46" i="39" s="1"/>
  <c r="B51" i="39"/>
  <c r="B52" i="39"/>
  <c r="A53" i="39"/>
  <c r="Q47" i="39" s="1"/>
  <c r="B53" i="39"/>
  <c r="B54" i="39"/>
  <c r="A55" i="39"/>
  <c r="Q48" i="39" s="1"/>
  <c r="B55" i="39"/>
  <c r="B56" i="39"/>
  <c r="A57" i="39"/>
  <c r="B57" i="39"/>
  <c r="B58" i="39"/>
  <c r="B61" i="39"/>
  <c r="B62" i="39"/>
  <c r="A63" i="39"/>
  <c r="B63" i="39"/>
  <c r="C63" i="39"/>
  <c r="D63" i="39"/>
  <c r="P63" i="39" s="1"/>
  <c r="E63" i="39"/>
  <c r="F63" i="39"/>
  <c r="G63" i="39"/>
  <c r="H63" i="39"/>
  <c r="I63" i="39"/>
  <c r="J63" i="39"/>
  <c r="K63" i="39"/>
  <c r="L63" i="39"/>
  <c r="M63" i="39"/>
  <c r="N63" i="39"/>
  <c r="A65" i="39"/>
  <c r="P65" i="39"/>
  <c r="Q65" i="39"/>
  <c r="B66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A67" i="39"/>
  <c r="P67" i="39"/>
  <c r="Q67" i="39"/>
  <c r="B68" i="39"/>
  <c r="C68" i="39"/>
  <c r="D68" i="39"/>
  <c r="E68" i="39"/>
  <c r="F68" i="39"/>
  <c r="G68" i="39"/>
  <c r="H68" i="39"/>
  <c r="I68" i="39"/>
  <c r="J68" i="39"/>
  <c r="K68" i="39"/>
  <c r="L68" i="39"/>
  <c r="M68" i="39"/>
  <c r="N68" i="39"/>
  <c r="A69" i="39"/>
  <c r="P69" i="39"/>
  <c r="Q69" i="39"/>
  <c r="B70" i="39"/>
  <c r="C70" i="39"/>
  <c r="D70" i="39"/>
  <c r="E70" i="39"/>
  <c r="F70" i="39"/>
  <c r="G70" i="39"/>
  <c r="H70" i="39"/>
  <c r="I70" i="39"/>
  <c r="J70" i="39"/>
  <c r="K70" i="39"/>
  <c r="L70" i="39"/>
  <c r="M70" i="39"/>
  <c r="N70" i="39"/>
  <c r="A71" i="39"/>
  <c r="P71" i="39"/>
  <c r="Q71" i="39"/>
  <c r="B72" i="39"/>
  <c r="C72" i="39"/>
  <c r="D72" i="39"/>
  <c r="E72" i="39"/>
  <c r="F72" i="39"/>
  <c r="G72" i="39"/>
  <c r="H72" i="39"/>
  <c r="I72" i="39"/>
  <c r="J72" i="39"/>
  <c r="K72" i="39"/>
  <c r="L72" i="39"/>
  <c r="M72" i="39"/>
  <c r="N72" i="39"/>
  <c r="A73" i="39"/>
  <c r="P73" i="39"/>
  <c r="Q73" i="39"/>
  <c r="B74" i="39"/>
  <c r="C74" i="39"/>
  <c r="D74" i="39"/>
  <c r="E74" i="39"/>
  <c r="F74" i="39"/>
  <c r="G74" i="39"/>
  <c r="H74" i="39"/>
  <c r="I74" i="39"/>
  <c r="J74" i="39"/>
  <c r="K74" i="39"/>
  <c r="L74" i="39"/>
  <c r="M74" i="39"/>
  <c r="N74" i="39"/>
  <c r="C77" i="39"/>
  <c r="D77" i="39"/>
  <c r="E77" i="39"/>
  <c r="F77" i="39"/>
  <c r="G77" i="39"/>
  <c r="H77" i="39"/>
  <c r="I77" i="39"/>
  <c r="J77" i="39"/>
  <c r="K77" i="39"/>
  <c r="L77" i="39"/>
  <c r="M77" i="39"/>
  <c r="A78" i="39"/>
  <c r="Q78" i="39"/>
  <c r="R78" i="39"/>
  <c r="S78" i="39"/>
  <c r="T78" i="39"/>
  <c r="U78" i="39"/>
  <c r="V78" i="39"/>
  <c r="W78" i="39"/>
  <c r="X78" i="39"/>
  <c r="Y78" i="39"/>
  <c r="Z78" i="39"/>
  <c r="AA78" i="39"/>
  <c r="AB78" i="39"/>
  <c r="AC78" i="39"/>
  <c r="A79" i="39"/>
  <c r="B79" i="39"/>
  <c r="P79" i="39"/>
  <c r="Q79" i="39"/>
  <c r="R79" i="39"/>
  <c r="S79" i="39"/>
  <c r="T79" i="39"/>
  <c r="U79" i="39"/>
  <c r="V79" i="39"/>
  <c r="W79" i="39"/>
  <c r="X79" i="39"/>
  <c r="Y79" i="39"/>
  <c r="Z79" i="39"/>
  <c r="AA79" i="39"/>
  <c r="AB79" i="39"/>
  <c r="AC79" i="39"/>
  <c r="B80" i="39"/>
  <c r="R80" i="39"/>
  <c r="S80" i="39"/>
  <c r="T80" i="39"/>
  <c r="U80" i="39"/>
  <c r="V80" i="39"/>
  <c r="W80" i="39"/>
  <c r="X80" i="39"/>
  <c r="Y80" i="39"/>
  <c r="Z80" i="39"/>
  <c r="AA80" i="39"/>
  <c r="AB80" i="39"/>
  <c r="AC80" i="39"/>
  <c r="A81" i="39"/>
  <c r="B81" i="39"/>
  <c r="R81" i="39"/>
  <c r="S81" i="39"/>
  <c r="T81" i="39"/>
  <c r="U81" i="39"/>
  <c r="V81" i="39"/>
  <c r="W81" i="39"/>
  <c r="X81" i="39"/>
  <c r="Y81" i="39"/>
  <c r="Z81" i="39"/>
  <c r="AA81" i="39"/>
  <c r="AB81" i="39"/>
  <c r="AC81" i="39"/>
  <c r="B82" i="39"/>
  <c r="R82" i="39"/>
  <c r="S82" i="39"/>
  <c r="T82" i="39"/>
  <c r="U82" i="39"/>
  <c r="V82" i="39"/>
  <c r="W82" i="39"/>
  <c r="X82" i="39"/>
  <c r="Y82" i="39"/>
  <c r="Z82" i="39"/>
  <c r="AA82" i="39"/>
  <c r="AB82" i="39"/>
  <c r="AC82" i="39"/>
  <c r="A83" i="39"/>
  <c r="Q80" i="39" s="1"/>
  <c r="B83" i="39"/>
  <c r="R83" i="39"/>
  <c r="S83" i="39"/>
  <c r="T83" i="39"/>
  <c r="U83" i="39"/>
  <c r="V83" i="39"/>
  <c r="W83" i="39"/>
  <c r="X83" i="39"/>
  <c r="Y83" i="39"/>
  <c r="Z83" i="39"/>
  <c r="AA83" i="39"/>
  <c r="AB83" i="39"/>
  <c r="AC83" i="39"/>
  <c r="B84" i="39"/>
  <c r="A85" i="39"/>
  <c r="Q81" i="39" s="1"/>
  <c r="B85" i="39"/>
  <c r="B86" i="39"/>
  <c r="A87" i="39"/>
  <c r="Q82" i="39" s="1"/>
  <c r="B87" i="39"/>
  <c r="B88" i="39"/>
  <c r="A89" i="39"/>
  <c r="Q83" i="39" s="1"/>
  <c r="B89" i="39"/>
  <c r="B90" i="39"/>
  <c r="X25" i="44" l="1"/>
  <c r="AI155" i="44"/>
  <c r="I143" i="44"/>
  <c r="AB141" i="44"/>
  <c r="K141" i="44"/>
  <c r="AC9" i="44"/>
  <c r="S9" i="44"/>
  <c r="I9" i="44"/>
  <c r="L223" i="44"/>
  <c r="D223" i="44"/>
  <c r="B164" i="44"/>
  <c r="Y155" i="44"/>
  <c r="K149" i="44"/>
  <c r="AF147" i="44"/>
  <c r="V147" i="44"/>
  <c r="L147" i="44"/>
  <c r="AO146" i="44"/>
  <c r="Q145" i="44"/>
  <c r="AI143" i="44"/>
  <c r="X141" i="44"/>
  <c r="I141" i="44"/>
  <c r="AF139" i="44"/>
  <c r="X139" i="44"/>
  <c r="P139" i="44"/>
  <c r="AK9" i="44"/>
  <c r="AA9" i="44"/>
  <c r="Q9" i="44"/>
  <c r="E9" i="44"/>
  <c r="AE9" i="44"/>
  <c r="W9" i="44"/>
  <c r="O9" i="44"/>
  <c r="G9" i="44"/>
  <c r="G223" i="44"/>
  <c r="Q155" i="44"/>
  <c r="W141" i="44"/>
  <c r="C141" i="44"/>
  <c r="AE139" i="44"/>
  <c r="W139" i="44"/>
  <c r="O25" i="44"/>
  <c r="AJ9" i="44"/>
  <c r="Z9" i="44"/>
  <c r="D9" i="44"/>
  <c r="AL9" i="44"/>
  <c r="AD9" i="44"/>
  <c r="V9" i="44"/>
  <c r="N9" i="44"/>
  <c r="F9" i="44"/>
  <c r="J223" i="44"/>
  <c r="B188" i="44"/>
  <c r="B211" i="44" s="1"/>
  <c r="K155" i="44"/>
  <c r="I145" i="44"/>
  <c r="Z143" i="44"/>
  <c r="AI141" i="44"/>
  <c r="S141" i="44"/>
  <c r="AO140" i="44"/>
  <c r="V139" i="44"/>
  <c r="N139" i="44"/>
  <c r="F139" i="44"/>
  <c r="AI9" i="44"/>
  <c r="Y9" i="44"/>
  <c r="M9" i="44"/>
  <c r="C9" i="44"/>
  <c r="AC147" i="44"/>
  <c r="S147" i="44"/>
  <c r="G147" i="44"/>
  <c r="AK145" i="44"/>
  <c r="G145" i="44"/>
  <c r="Y143" i="44"/>
  <c r="AG141" i="44"/>
  <c r="R141" i="44"/>
  <c r="AH9" i="44"/>
  <c r="L9" i="44"/>
  <c r="AG9" i="44"/>
  <c r="U9" i="44"/>
  <c r="K9" i="44"/>
  <c r="AF141" i="44"/>
  <c r="O141" i="44"/>
  <c r="AL153" i="44"/>
  <c r="V153" i="44"/>
  <c r="F153" i="44"/>
  <c r="AC149" i="44"/>
  <c r="AK147" i="44"/>
  <c r="Y147" i="44"/>
  <c r="O147" i="44"/>
  <c r="E147" i="44"/>
  <c r="AC145" i="44"/>
  <c r="P143" i="44"/>
  <c r="AE141" i="44"/>
  <c r="L141" i="44"/>
  <c r="T9" i="44"/>
  <c r="AB149" i="42"/>
  <c r="P147" i="42"/>
  <c r="Q145" i="42"/>
  <c r="W143" i="42"/>
  <c r="N211" i="42"/>
  <c r="M149" i="42"/>
  <c r="O145" i="42"/>
  <c r="I139" i="42"/>
  <c r="O9" i="42"/>
  <c r="B192" i="42"/>
  <c r="B213" i="42" s="1"/>
  <c r="B168" i="42"/>
  <c r="L149" i="42"/>
  <c r="AL145" i="42"/>
  <c r="L145" i="42"/>
  <c r="G9" i="42"/>
  <c r="N215" i="42"/>
  <c r="F223" i="42"/>
  <c r="B176" i="42"/>
  <c r="AL155" i="42"/>
  <c r="N155" i="42"/>
  <c r="O153" i="42"/>
  <c r="S151" i="42"/>
  <c r="AC147" i="42"/>
  <c r="K147" i="42"/>
  <c r="AG145" i="42"/>
  <c r="G145" i="42"/>
  <c r="AH141" i="42"/>
  <c r="O141" i="42"/>
  <c r="B18" i="42"/>
  <c r="AE145" i="42"/>
  <c r="F145" i="42"/>
  <c r="AG9" i="42"/>
  <c r="AI9" i="42"/>
  <c r="V145" i="42"/>
  <c r="H223" i="42"/>
  <c r="N217" i="42"/>
  <c r="AC155" i="42"/>
  <c r="I153" i="42"/>
  <c r="AL147" i="42"/>
  <c r="W147" i="42"/>
  <c r="G147" i="42"/>
  <c r="AB145" i="42"/>
  <c r="AO144" i="42"/>
  <c r="H141" i="42"/>
  <c r="Y9" i="42"/>
  <c r="N219" i="42"/>
  <c r="G223" i="42"/>
  <c r="K223" i="42"/>
  <c r="C223" i="42"/>
  <c r="AO152" i="42"/>
  <c r="AK147" i="42"/>
  <c r="V147" i="42"/>
  <c r="E147" i="42"/>
  <c r="W145" i="42"/>
  <c r="Z141" i="42"/>
  <c r="G141" i="42"/>
  <c r="A156" i="43"/>
  <c r="A180" i="42"/>
  <c r="A204" i="42"/>
  <c r="B173" i="42"/>
  <c r="B197" i="42"/>
  <c r="B218" i="42" s="1"/>
  <c r="A150" i="44"/>
  <c r="A174" i="43"/>
  <c r="A198" i="43"/>
  <c r="R94" i="40"/>
  <c r="K81" i="40"/>
  <c r="B155" i="44"/>
  <c r="B179" i="44" s="1"/>
  <c r="B155" i="43"/>
  <c r="Q92" i="40"/>
  <c r="S92" i="40" s="1"/>
  <c r="R89" i="40"/>
  <c r="G62" i="40"/>
  <c r="O57" i="40" s="1"/>
  <c r="F60" i="40"/>
  <c r="N56" i="40" s="1"/>
  <c r="G58" i="40"/>
  <c r="O55" i="40" s="1"/>
  <c r="C56" i="40"/>
  <c r="K54" i="40" s="1"/>
  <c r="B93" i="44"/>
  <c r="B93" i="43"/>
  <c r="B93" i="42"/>
  <c r="B91" i="44"/>
  <c r="B91" i="43"/>
  <c r="B91" i="42"/>
  <c r="B38" i="44"/>
  <c r="B38" i="43"/>
  <c r="B38" i="42"/>
  <c r="A32" i="43"/>
  <c r="A32" i="44" s="1"/>
  <c r="A72" i="42"/>
  <c r="A52" i="42"/>
  <c r="G27" i="40"/>
  <c r="O25" i="40" s="1"/>
  <c r="H62" i="41"/>
  <c r="R58" i="41" s="1"/>
  <c r="Q71" i="41" s="1"/>
  <c r="F60" i="41"/>
  <c r="E58" i="41"/>
  <c r="O56" i="41" s="1"/>
  <c r="N70" i="41" s="1"/>
  <c r="I54" i="41"/>
  <c r="S52" i="41" s="1"/>
  <c r="R68" i="41" s="1"/>
  <c r="D50" i="41"/>
  <c r="N50" i="41" s="1"/>
  <c r="M67" i="41" s="1"/>
  <c r="B174" i="42"/>
  <c r="AD155" i="42"/>
  <c r="Q155" i="42"/>
  <c r="A152" i="42"/>
  <c r="W151" i="42"/>
  <c r="J80" i="40"/>
  <c r="J93" i="40" s="1"/>
  <c r="A154" i="42"/>
  <c r="B153" i="44"/>
  <c r="B153" i="43"/>
  <c r="B201" i="43" s="1"/>
  <c r="B220" i="43" s="1"/>
  <c r="F62" i="40"/>
  <c r="N57" i="40" s="1"/>
  <c r="R57" i="40" s="1"/>
  <c r="D60" i="40"/>
  <c r="L56" i="40" s="1"/>
  <c r="Q56" i="40" s="1"/>
  <c r="F58" i="40"/>
  <c r="N55" i="40" s="1"/>
  <c r="R55" i="40" s="1"/>
  <c r="J54" i="40"/>
  <c r="A93" i="42"/>
  <c r="A91" i="43"/>
  <c r="A91" i="44" s="1"/>
  <c r="A123" i="42"/>
  <c r="A107" i="42"/>
  <c r="J37" i="40"/>
  <c r="A38" i="42"/>
  <c r="B35" i="44"/>
  <c r="B35" i="43"/>
  <c r="B35" i="42"/>
  <c r="G62" i="41"/>
  <c r="Q58" i="41" s="1"/>
  <c r="P71" i="41" s="1"/>
  <c r="L59" i="41"/>
  <c r="D58" i="41"/>
  <c r="N56" i="41" s="1"/>
  <c r="M70" i="41" s="1"/>
  <c r="H54" i="41"/>
  <c r="R52" i="41" s="1"/>
  <c r="Q68" i="41" s="1"/>
  <c r="C50" i="41"/>
  <c r="M50" i="41" s="1"/>
  <c r="L67" i="41" s="1"/>
  <c r="B155" i="42"/>
  <c r="B157" i="44"/>
  <c r="B157" i="43"/>
  <c r="B157" i="42"/>
  <c r="R91" i="40"/>
  <c r="Q89" i="40"/>
  <c r="A68" i="40"/>
  <c r="F64" i="40"/>
  <c r="N58" i="40" s="1"/>
  <c r="E58" i="40"/>
  <c r="M55" i="40" s="1"/>
  <c r="H56" i="40"/>
  <c r="P54" i="40" s="1"/>
  <c r="C52" i="40"/>
  <c r="K52" i="40" s="1"/>
  <c r="B47" i="44"/>
  <c r="B47" i="43"/>
  <c r="B47" i="42"/>
  <c r="B45" i="44"/>
  <c r="B65" i="44" s="1"/>
  <c r="B45" i="43"/>
  <c r="B45" i="42"/>
  <c r="B43" i="44"/>
  <c r="B43" i="43"/>
  <c r="B43" i="42"/>
  <c r="F41" i="40"/>
  <c r="N37" i="40" s="1"/>
  <c r="N33" i="40"/>
  <c r="E27" i="40"/>
  <c r="M25" i="40" s="1"/>
  <c r="R25" i="40" s="1"/>
  <c r="G25" i="40"/>
  <c r="O24" i="40" s="1"/>
  <c r="F62" i="41"/>
  <c r="P58" i="41" s="1"/>
  <c r="O71" i="41" s="1"/>
  <c r="C58" i="41"/>
  <c r="M56" i="41" s="1"/>
  <c r="L70" i="41" s="1"/>
  <c r="S70" i="41" s="1"/>
  <c r="G54" i="41"/>
  <c r="Q52" i="41" s="1"/>
  <c r="P68" i="41" s="1"/>
  <c r="B50" i="41"/>
  <c r="L50" i="41" s="1"/>
  <c r="L49" i="41"/>
  <c r="A190" i="42"/>
  <c r="J151" i="42"/>
  <c r="H151" i="42"/>
  <c r="Q151" i="42"/>
  <c r="Y151" i="42"/>
  <c r="AG151" i="42"/>
  <c r="K151" i="42"/>
  <c r="C151" i="42"/>
  <c r="L151" i="42"/>
  <c r="T151" i="42"/>
  <c r="AB151" i="42"/>
  <c r="AJ151" i="42"/>
  <c r="D151" i="42"/>
  <c r="M151" i="42"/>
  <c r="U151" i="42"/>
  <c r="AC151" i="42"/>
  <c r="AK151" i="42"/>
  <c r="E151" i="42"/>
  <c r="N151" i="42"/>
  <c r="V151" i="42"/>
  <c r="AD151" i="42"/>
  <c r="AL151" i="42"/>
  <c r="K75" i="40"/>
  <c r="B147" i="44"/>
  <c r="B147" i="43"/>
  <c r="B171" i="43" s="1"/>
  <c r="B147" i="42"/>
  <c r="P83" i="40"/>
  <c r="O94" i="40" s="1"/>
  <c r="B151" i="44"/>
  <c r="B175" i="44" s="1"/>
  <c r="B151" i="43"/>
  <c r="B151" i="42"/>
  <c r="K73" i="40"/>
  <c r="B145" i="44"/>
  <c r="B145" i="43"/>
  <c r="B145" i="42"/>
  <c r="J74" i="40"/>
  <c r="J90" i="40" s="1"/>
  <c r="B143" i="44"/>
  <c r="B143" i="43"/>
  <c r="B143" i="42"/>
  <c r="J72" i="40"/>
  <c r="J89" i="40" s="1"/>
  <c r="R88" i="40"/>
  <c r="B100" i="44"/>
  <c r="B116" i="44" s="1"/>
  <c r="B100" i="43"/>
  <c r="B100" i="42"/>
  <c r="B132" i="42" s="1"/>
  <c r="B98" i="44"/>
  <c r="B98" i="43"/>
  <c r="B98" i="42"/>
  <c r="G56" i="40"/>
  <c r="O54" i="40" s="1"/>
  <c r="B46" i="44"/>
  <c r="B46" i="43"/>
  <c r="B46" i="42"/>
  <c r="C47" i="40"/>
  <c r="B44" i="44"/>
  <c r="B44" i="43"/>
  <c r="B44" i="42"/>
  <c r="C45" i="40"/>
  <c r="B42" i="44"/>
  <c r="B42" i="43"/>
  <c r="B42" i="42"/>
  <c r="B41" i="44"/>
  <c r="B41" i="43"/>
  <c r="B41" i="42"/>
  <c r="E41" i="40"/>
  <c r="H39" i="40"/>
  <c r="P36" i="40" s="1"/>
  <c r="B34" i="44"/>
  <c r="C35" i="44" s="1"/>
  <c r="B34" i="43"/>
  <c r="B34" i="42"/>
  <c r="F35" i="40"/>
  <c r="N34" i="40" s="1"/>
  <c r="C27" i="40"/>
  <c r="K25" i="40" s="1"/>
  <c r="Q25" i="40" s="1"/>
  <c r="F25" i="40"/>
  <c r="N24" i="40" s="1"/>
  <c r="E62" i="41"/>
  <c r="O58" i="41" s="1"/>
  <c r="N71" i="41" s="1"/>
  <c r="T71" i="41" s="1"/>
  <c r="E54" i="41"/>
  <c r="O52" i="41" s="1"/>
  <c r="N68" i="41" s="1"/>
  <c r="T68" i="41" s="1"/>
  <c r="I50" i="41"/>
  <c r="S50" i="41" s="1"/>
  <c r="R67" i="41" s="1"/>
  <c r="A192" i="42"/>
  <c r="A213" i="42" s="1"/>
  <c r="O210" i="42" s="1"/>
  <c r="A168" i="42"/>
  <c r="J155" i="42"/>
  <c r="AO154" i="42"/>
  <c r="L155" i="42"/>
  <c r="V155" i="42"/>
  <c r="AF155" i="42"/>
  <c r="E155" i="42"/>
  <c r="G155" i="42"/>
  <c r="AF151" i="42"/>
  <c r="P151" i="42"/>
  <c r="A170" i="42"/>
  <c r="A146" i="43"/>
  <c r="A144" i="44"/>
  <c r="A192" i="43"/>
  <c r="A213" i="43" s="1"/>
  <c r="A168" i="43"/>
  <c r="A166" i="43"/>
  <c r="A142" i="44"/>
  <c r="A190" i="43"/>
  <c r="H62" i="40"/>
  <c r="P57" i="40" s="1"/>
  <c r="B99" i="44"/>
  <c r="B99" i="43"/>
  <c r="B99" i="42"/>
  <c r="E60" i="40"/>
  <c r="M56" i="40" s="1"/>
  <c r="B97" i="44"/>
  <c r="B97" i="43"/>
  <c r="B97" i="42"/>
  <c r="B96" i="44"/>
  <c r="B96" i="43"/>
  <c r="B96" i="42"/>
  <c r="A86" i="42"/>
  <c r="O78" i="42" s="1"/>
  <c r="A46" i="43"/>
  <c r="J40" i="40"/>
  <c r="A44" i="42"/>
  <c r="J39" i="40"/>
  <c r="A42" i="42"/>
  <c r="B40" i="44"/>
  <c r="B40" i="43"/>
  <c r="B40" i="42"/>
  <c r="D41" i="40"/>
  <c r="L37" i="40" s="1"/>
  <c r="A34" i="43"/>
  <c r="A74" i="42"/>
  <c r="O72" i="42" s="1"/>
  <c r="A54" i="42"/>
  <c r="H66" i="41"/>
  <c r="I64" i="41"/>
  <c r="S60" i="41" s="1"/>
  <c r="R72" i="41" s="1"/>
  <c r="D62" i="41"/>
  <c r="N58" i="41" s="1"/>
  <c r="M71" i="41" s="1"/>
  <c r="I58" i="41"/>
  <c r="S56" i="41" s="1"/>
  <c r="R70" i="41" s="1"/>
  <c r="A57" i="41"/>
  <c r="K55" i="41" s="1"/>
  <c r="K70" i="41" s="1"/>
  <c r="D54" i="41"/>
  <c r="N52" i="41" s="1"/>
  <c r="M68" i="41" s="1"/>
  <c r="A194" i="42"/>
  <c r="A215" i="42" s="1"/>
  <c r="O211" i="42" s="1"/>
  <c r="AK155" i="42"/>
  <c r="X155" i="42"/>
  <c r="M155" i="42"/>
  <c r="B153" i="42"/>
  <c r="AE151" i="42"/>
  <c r="O151" i="42"/>
  <c r="N149" i="42"/>
  <c r="AC149" i="42"/>
  <c r="D149" i="42"/>
  <c r="R149" i="42"/>
  <c r="AE149" i="42"/>
  <c r="E149" i="42"/>
  <c r="T149" i="42"/>
  <c r="AH149" i="42"/>
  <c r="F149" i="42"/>
  <c r="U149" i="42"/>
  <c r="AK149" i="42"/>
  <c r="G149" i="42"/>
  <c r="W149" i="42"/>
  <c r="AL149" i="42"/>
  <c r="B102" i="44"/>
  <c r="B102" i="43"/>
  <c r="B134" i="43" s="1"/>
  <c r="B102" i="42"/>
  <c r="J57" i="40"/>
  <c r="A99" i="42"/>
  <c r="J56" i="40"/>
  <c r="A97" i="42"/>
  <c r="B94" i="44"/>
  <c r="B94" i="43"/>
  <c r="B94" i="42"/>
  <c r="R53" i="40"/>
  <c r="J38" i="40"/>
  <c r="A40" i="42"/>
  <c r="Q37" i="40"/>
  <c r="B37" i="44"/>
  <c r="B37" i="43"/>
  <c r="B37" i="42"/>
  <c r="S71" i="41"/>
  <c r="S68" i="41"/>
  <c r="AA151" i="42"/>
  <c r="I151" i="42"/>
  <c r="A148" i="42"/>
  <c r="K77" i="40"/>
  <c r="B149" i="44"/>
  <c r="B149" i="43"/>
  <c r="K71" i="40"/>
  <c r="B141" i="44"/>
  <c r="B141" i="43"/>
  <c r="B141" i="42"/>
  <c r="P68" i="40"/>
  <c r="G64" i="40"/>
  <c r="O58" i="40" s="1"/>
  <c r="B101" i="44"/>
  <c r="B101" i="43"/>
  <c r="B101" i="42"/>
  <c r="H60" i="40"/>
  <c r="P56" i="40" s="1"/>
  <c r="D58" i="40"/>
  <c r="L55" i="40" s="1"/>
  <c r="B95" i="44"/>
  <c r="B95" i="43"/>
  <c r="B95" i="42"/>
  <c r="S53" i="40"/>
  <c r="B39" i="44"/>
  <c r="B39" i="43"/>
  <c r="B39" i="42"/>
  <c r="C39" i="40"/>
  <c r="B36" i="44"/>
  <c r="B36" i="43"/>
  <c r="B36" i="42"/>
  <c r="J26" i="40"/>
  <c r="A7" i="42"/>
  <c r="J25" i="40"/>
  <c r="A5" i="42"/>
  <c r="A61" i="41"/>
  <c r="K57" i="41" s="1"/>
  <c r="K71" i="41" s="1"/>
  <c r="G58" i="41"/>
  <c r="Q56" i="41" s="1"/>
  <c r="P70" i="41" s="1"/>
  <c r="A53" i="41"/>
  <c r="K51" i="41" s="1"/>
  <c r="K68" i="41" s="1"/>
  <c r="AJ157" i="42"/>
  <c r="AG155" i="42"/>
  <c r="U155" i="42"/>
  <c r="H155" i="42"/>
  <c r="Z151" i="42"/>
  <c r="G151" i="42"/>
  <c r="Z149" i="42"/>
  <c r="R93" i="40"/>
  <c r="Q94" i="40"/>
  <c r="A164" i="42"/>
  <c r="A140" i="43"/>
  <c r="O68" i="40"/>
  <c r="A117" i="42"/>
  <c r="A101" i="43"/>
  <c r="A133" i="42"/>
  <c r="O127" i="42" s="1"/>
  <c r="G60" i="40"/>
  <c r="O56" i="40" s="1"/>
  <c r="J58" i="40"/>
  <c r="A127" i="44"/>
  <c r="N124" i="44" s="1"/>
  <c r="A111" i="44"/>
  <c r="J55" i="40"/>
  <c r="B92" i="44"/>
  <c r="B92" i="43"/>
  <c r="B108" i="43" s="1"/>
  <c r="B92" i="42"/>
  <c r="B108" i="42" s="1"/>
  <c r="J41" i="40"/>
  <c r="M40" i="40"/>
  <c r="J36" i="40"/>
  <c r="A36" i="42"/>
  <c r="B33" i="44"/>
  <c r="B33" i="43"/>
  <c r="B33" i="42"/>
  <c r="D35" i="40"/>
  <c r="L34" i="40" s="1"/>
  <c r="Q34" i="40" s="1"/>
  <c r="B32" i="44"/>
  <c r="B32" i="43"/>
  <c r="B32" i="42"/>
  <c r="W33" i="42" s="1"/>
  <c r="H27" i="40"/>
  <c r="P25" i="40" s="1"/>
  <c r="A3" i="43"/>
  <c r="A3" i="44" s="1"/>
  <c r="A13" i="42"/>
  <c r="A23" i="42" s="1"/>
  <c r="B66" i="41"/>
  <c r="I62" i="41"/>
  <c r="S58" i="41" s="1"/>
  <c r="R71" i="41" s="1"/>
  <c r="H60" i="41"/>
  <c r="F58" i="41"/>
  <c r="P56" i="41" s="1"/>
  <c r="O70" i="41" s="1"/>
  <c r="A166" i="42"/>
  <c r="O157" i="42"/>
  <c r="AE155" i="42"/>
  <c r="T155" i="42"/>
  <c r="F155" i="42"/>
  <c r="J153" i="42"/>
  <c r="N153" i="42"/>
  <c r="AD153" i="42"/>
  <c r="E153" i="42"/>
  <c r="U153" i="42"/>
  <c r="AK153" i="42"/>
  <c r="F153" i="42"/>
  <c r="V153" i="42"/>
  <c r="AL153" i="42"/>
  <c r="G153" i="42"/>
  <c r="W153" i="42"/>
  <c r="X151" i="42"/>
  <c r="F151" i="42"/>
  <c r="O149" i="42"/>
  <c r="U143" i="42"/>
  <c r="Z92" i="42"/>
  <c r="R92" i="42"/>
  <c r="J92" i="42"/>
  <c r="F224" i="43"/>
  <c r="R215" i="43" s="1"/>
  <c r="AA147" i="42"/>
  <c r="N147" i="42"/>
  <c r="AD145" i="42"/>
  <c r="N145" i="42"/>
  <c r="R143" i="42"/>
  <c r="AL141" i="42"/>
  <c r="AD141" i="42"/>
  <c r="V141" i="42"/>
  <c r="N141" i="42"/>
  <c r="F141" i="42"/>
  <c r="D139" i="42"/>
  <c r="O143" i="42"/>
  <c r="AK141" i="42"/>
  <c r="AC141" i="42"/>
  <c r="U141" i="42"/>
  <c r="M141" i="42"/>
  <c r="E141" i="42"/>
  <c r="AJ139" i="42"/>
  <c r="AE139" i="42"/>
  <c r="W139" i="42"/>
  <c r="J224" i="43"/>
  <c r="V215" i="43" s="1"/>
  <c r="K224" i="43"/>
  <c r="W215" i="43" s="1"/>
  <c r="C224" i="43"/>
  <c r="O215" i="43" s="1"/>
  <c r="Y145" i="42"/>
  <c r="I145" i="42"/>
  <c r="M143" i="42"/>
  <c r="AJ141" i="42"/>
  <c r="AB141" i="42"/>
  <c r="T141" i="42"/>
  <c r="L141" i="42"/>
  <c r="D141" i="42"/>
  <c r="AB139" i="42"/>
  <c r="T33" i="42"/>
  <c r="L33" i="42"/>
  <c r="D33" i="42"/>
  <c r="D224" i="43"/>
  <c r="P215" i="43" s="1"/>
  <c r="J157" i="43"/>
  <c r="E157" i="43"/>
  <c r="N157" i="43"/>
  <c r="C157" i="43"/>
  <c r="O157" i="43"/>
  <c r="AC157" i="43"/>
  <c r="W153" i="43"/>
  <c r="AK143" i="42"/>
  <c r="J143" i="42"/>
  <c r="AI141" i="42"/>
  <c r="AA141" i="42"/>
  <c r="S141" i="42"/>
  <c r="K141" i="42"/>
  <c r="C141" i="42"/>
  <c r="Y139" i="42"/>
  <c r="AK139" i="42"/>
  <c r="AC139" i="42"/>
  <c r="U139" i="42"/>
  <c r="M139" i="42"/>
  <c r="I224" i="43"/>
  <c r="U215" i="43" s="1"/>
  <c r="C155" i="43"/>
  <c r="J155" i="43"/>
  <c r="W155" i="43"/>
  <c r="AJ155" i="43"/>
  <c r="G155" i="43"/>
  <c r="T155" i="43"/>
  <c r="AF155" i="43"/>
  <c r="H155" i="43"/>
  <c r="V155" i="43"/>
  <c r="AH155" i="43"/>
  <c r="J149" i="43"/>
  <c r="K149" i="43"/>
  <c r="AG149" i="43"/>
  <c r="Q149" i="43"/>
  <c r="AK149" i="43"/>
  <c r="AO148" i="43"/>
  <c r="S149" i="43"/>
  <c r="U149" i="43"/>
  <c r="E149" i="43"/>
  <c r="AA149" i="43"/>
  <c r="I149" i="43"/>
  <c r="AC149" i="43"/>
  <c r="AH143" i="42"/>
  <c r="AC92" i="42"/>
  <c r="U92" i="42"/>
  <c r="M92" i="42"/>
  <c r="AH33" i="42"/>
  <c r="Z33" i="42"/>
  <c r="J33" i="42"/>
  <c r="E224" i="43"/>
  <c r="Q215" i="43" s="1"/>
  <c r="E153" i="43"/>
  <c r="P153" i="43"/>
  <c r="AA153" i="43"/>
  <c r="N153" i="43"/>
  <c r="Y153" i="43"/>
  <c r="AI153" i="43"/>
  <c r="O153" i="43"/>
  <c r="Z153" i="43"/>
  <c r="AK153" i="43"/>
  <c r="AE147" i="42"/>
  <c r="S147" i="42"/>
  <c r="F147" i="42"/>
  <c r="AJ145" i="42"/>
  <c r="T145" i="42"/>
  <c r="D145" i="42"/>
  <c r="AG141" i="42"/>
  <c r="Y141" i="42"/>
  <c r="Q141" i="42"/>
  <c r="I141" i="42"/>
  <c r="Q139" i="42"/>
  <c r="H224" i="43"/>
  <c r="T215" i="43" s="1"/>
  <c r="G224" i="43"/>
  <c r="S215" i="43" s="1"/>
  <c r="AH151" i="43"/>
  <c r="Z151" i="43"/>
  <c r="R151" i="43"/>
  <c r="J151" i="43"/>
  <c r="AL147" i="43"/>
  <c r="AD147" i="43"/>
  <c r="V147" i="43"/>
  <c r="N147" i="43"/>
  <c r="F147" i="43"/>
  <c r="AK145" i="43"/>
  <c r="E145" i="43"/>
  <c r="D139" i="43"/>
  <c r="AF139" i="43"/>
  <c r="X139" i="43"/>
  <c r="H139" i="43"/>
  <c r="AL157" i="44"/>
  <c r="J157" i="44"/>
  <c r="J151" i="44"/>
  <c r="AG151" i="43"/>
  <c r="Y151" i="43"/>
  <c r="Q151" i="43"/>
  <c r="I151" i="43"/>
  <c r="AO150" i="43"/>
  <c r="AK147" i="43"/>
  <c r="AC147" i="43"/>
  <c r="U147" i="43"/>
  <c r="M147" i="43"/>
  <c r="E147" i="43"/>
  <c r="AI145" i="43"/>
  <c r="K141" i="43"/>
  <c r="AF92" i="43"/>
  <c r="X92" i="43"/>
  <c r="P92" i="43"/>
  <c r="H92" i="43"/>
  <c r="B204" i="44"/>
  <c r="AJ157" i="44"/>
  <c r="C157" i="44"/>
  <c r="G151" i="44"/>
  <c r="V139" i="43"/>
  <c r="F139" i="43"/>
  <c r="AE92" i="43"/>
  <c r="W92" i="43"/>
  <c r="O92" i="43"/>
  <c r="G92" i="43"/>
  <c r="AH157" i="44"/>
  <c r="AO156" i="44"/>
  <c r="AK151" i="44"/>
  <c r="AO150" i="44"/>
  <c r="AI147" i="43"/>
  <c r="AA147" i="43"/>
  <c r="S147" i="43"/>
  <c r="K147" i="43"/>
  <c r="C147" i="43"/>
  <c r="W141" i="43"/>
  <c r="G141" i="43"/>
  <c r="AD139" i="43"/>
  <c r="AH147" i="43"/>
  <c r="Z147" i="43"/>
  <c r="R147" i="43"/>
  <c r="J147" i="43"/>
  <c r="W139" i="43"/>
  <c r="AB139" i="43"/>
  <c r="T139" i="43"/>
  <c r="L139" i="43"/>
  <c r="K157" i="44"/>
  <c r="Y157" i="44"/>
  <c r="AI157" i="44"/>
  <c r="P157" i="44"/>
  <c r="AA157" i="44"/>
  <c r="AK157" i="44"/>
  <c r="G157" i="44"/>
  <c r="R157" i="44"/>
  <c r="AC157" i="44"/>
  <c r="H157" i="44"/>
  <c r="S157" i="44"/>
  <c r="AD157" i="44"/>
  <c r="I157" i="44"/>
  <c r="T157" i="44"/>
  <c r="AG157" i="44"/>
  <c r="I151" i="44"/>
  <c r="R151" i="44"/>
  <c r="AA151" i="44"/>
  <c r="AJ151" i="44"/>
  <c r="B174" i="44"/>
  <c r="K151" i="44"/>
  <c r="T151" i="44"/>
  <c r="AC151" i="44"/>
  <c r="AL151" i="44"/>
  <c r="C151" i="44"/>
  <c r="L151" i="44"/>
  <c r="U151" i="44"/>
  <c r="AD151" i="44"/>
  <c r="D151" i="44"/>
  <c r="M151" i="44"/>
  <c r="V151" i="44"/>
  <c r="AE151" i="44"/>
  <c r="E151" i="44"/>
  <c r="N151" i="44"/>
  <c r="W151" i="44"/>
  <c r="AG151" i="44"/>
  <c r="F151" i="44"/>
  <c r="O151" i="44"/>
  <c r="Y151" i="44"/>
  <c r="AH151" i="44"/>
  <c r="E151" i="43"/>
  <c r="AG147" i="43"/>
  <c r="Y147" i="43"/>
  <c r="Q147" i="43"/>
  <c r="I147" i="43"/>
  <c r="P139" i="43"/>
  <c r="V157" i="44"/>
  <c r="Z151" i="44"/>
  <c r="S92" i="43"/>
  <c r="AE33" i="43"/>
  <c r="W33" i="43"/>
  <c r="O33" i="43"/>
  <c r="G33" i="43"/>
  <c r="Q157" i="44"/>
  <c r="S151" i="44"/>
  <c r="AI151" i="43"/>
  <c r="AA151" i="43"/>
  <c r="S151" i="43"/>
  <c r="K151" i="43"/>
  <c r="AE147" i="43"/>
  <c r="W147" i="43"/>
  <c r="O147" i="43"/>
  <c r="G147" i="43"/>
  <c r="I145" i="43"/>
  <c r="AG141" i="43"/>
  <c r="G139" i="43"/>
  <c r="R92" i="43"/>
  <c r="J92" i="43"/>
  <c r="AL33" i="43"/>
  <c r="AD33" i="43"/>
  <c r="V33" i="43"/>
  <c r="N33" i="43"/>
  <c r="F33" i="43"/>
  <c r="B180" i="44"/>
  <c r="L157" i="44"/>
  <c r="Q151" i="44"/>
  <c r="I33" i="43"/>
  <c r="B168" i="44"/>
  <c r="AG153" i="44"/>
  <c r="Y153" i="44"/>
  <c r="Q153" i="44"/>
  <c r="I153" i="44"/>
  <c r="AO152" i="44"/>
  <c r="W149" i="44"/>
  <c r="E149" i="44"/>
  <c r="AH145" i="44"/>
  <c r="X145" i="44"/>
  <c r="N145" i="44"/>
  <c r="P33" i="43"/>
  <c r="H33" i="43"/>
  <c r="B172" i="44"/>
  <c r="AF153" i="44"/>
  <c r="X153" i="44"/>
  <c r="P153" i="44"/>
  <c r="H153" i="44"/>
  <c r="AL149" i="44"/>
  <c r="T149" i="44"/>
  <c r="AG145" i="44"/>
  <c r="W145" i="44"/>
  <c r="M145" i="44"/>
  <c r="AO144" i="44"/>
  <c r="AK149" i="44"/>
  <c r="S149" i="44"/>
  <c r="AF145" i="44"/>
  <c r="V145" i="44"/>
  <c r="J145" i="44"/>
  <c r="B187" i="44"/>
  <c r="B210" i="44" s="1"/>
  <c r="B176" i="44"/>
  <c r="AK153" i="44"/>
  <c r="AC153" i="44"/>
  <c r="U153" i="44"/>
  <c r="M153" i="44"/>
  <c r="E153" i="44"/>
  <c r="AF149" i="44"/>
  <c r="N149" i="44"/>
  <c r="AD145" i="44"/>
  <c r="R145" i="44"/>
  <c r="H145" i="44"/>
  <c r="O143" i="44"/>
  <c r="AH141" i="44"/>
  <c r="T141" i="44"/>
  <c r="AI153" i="44"/>
  <c r="AA153" i="44"/>
  <c r="S153" i="44"/>
  <c r="K153" i="44"/>
  <c r="AB149" i="44"/>
  <c r="AL145" i="44"/>
  <c r="Z145" i="44"/>
  <c r="P145" i="44"/>
  <c r="O139" i="44"/>
  <c r="G139" i="44"/>
  <c r="AK92" i="44"/>
  <c r="AC92" i="44"/>
  <c r="U92" i="44"/>
  <c r="M92" i="44"/>
  <c r="E92" i="44"/>
  <c r="AC139" i="44"/>
  <c r="M139" i="44"/>
  <c r="AB139" i="44"/>
  <c r="L139" i="44"/>
  <c r="K139" i="44"/>
  <c r="F155" i="44"/>
  <c r="N155" i="44"/>
  <c r="V155" i="44"/>
  <c r="AD155" i="44"/>
  <c r="AL155" i="44"/>
  <c r="I155" i="44"/>
  <c r="R155" i="44"/>
  <c r="AA155" i="44"/>
  <c r="AJ155" i="44"/>
  <c r="AO154" i="44"/>
  <c r="J155" i="44"/>
  <c r="S155" i="44"/>
  <c r="AB155" i="44"/>
  <c r="AK155" i="44"/>
  <c r="C155" i="44"/>
  <c r="L155" i="44"/>
  <c r="U155" i="44"/>
  <c r="AE155" i="44"/>
  <c r="B202" i="44"/>
  <c r="B221" i="44" s="1"/>
  <c r="D155" i="44"/>
  <c r="M155" i="44"/>
  <c r="W155" i="44"/>
  <c r="AF155" i="44"/>
  <c r="E155" i="44"/>
  <c r="O155" i="44"/>
  <c r="X155" i="44"/>
  <c r="AG155" i="44"/>
  <c r="B197" i="44"/>
  <c r="B218" i="44" s="1"/>
  <c r="B173" i="44"/>
  <c r="P155" i="44"/>
  <c r="E223" i="44"/>
  <c r="H139" i="44"/>
  <c r="AN138" i="44"/>
  <c r="AH155" i="44"/>
  <c r="H155" i="44"/>
  <c r="B203" i="44"/>
  <c r="B222" i="44" s="1"/>
  <c r="B178" i="44"/>
  <c r="AC155" i="44"/>
  <c r="G155" i="44"/>
  <c r="AO148" i="44"/>
  <c r="I149" i="44"/>
  <c r="Q149" i="44"/>
  <c r="Y149" i="44"/>
  <c r="AG149" i="44"/>
  <c r="AH143" i="44"/>
  <c r="X143" i="44"/>
  <c r="N143" i="44"/>
  <c r="AN91" i="44"/>
  <c r="AI149" i="44"/>
  <c r="Z149" i="44"/>
  <c r="P149" i="44"/>
  <c r="G149" i="44"/>
  <c r="AG143" i="44"/>
  <c r="W143" i="44"/>
  <c r="K143" i="44"/>
  <c r="AO142" i="44"/>
  <c r="E157" i="44"/>
  <c r="M157" i="44"/>
  <c r="U157" i="44"/>
  <c r="AH149" i="44"/>
  <c r="X149" i="44"/>
  <c r="O149" i="44"/>
  <c r="F149" i="44"/>
  <c r="AF143" i="44"/>
  <c r="V143" i="44"/>
  <c r="E141" i="44"/>
  <c r="M141" i="44"/>
  <c r="U141" i="44"/>
  <c r="AC141" i="44"/>
  <c r="AK141" i="44"/>
  <c r="F141" i="44"/>
  <c r="N141" i="44"/>
  <c r="V141" i="44"/>
  <c r="AD141" i="44"/>
  <c r="AL141" i="44"/>
  <c r="D143" i="44"/>
  <c r="L143" i="44"/>
  <c r="T143" i="44"/>
  <c r="AB143" i="44"/>
  <c r="AJ143" i="44"/>
  <c r="E143" i="44"/>
  <c r="M143" i="44"/>
  <c r="U143" i="44"/>
  <c r="AC143" i="44"/>
  <c r="AK143" i="44"/>
  <c r="B190" i="44"/>
  <c r="B223" i="44" s="1"/>
  <c r="D224" i="44" s="1"/>
  <c r="P215" i="44" s="1"/>
  <c r="AF157" i="44"/>
  <c r="X157" i="44"/>
  <c r="O157" i="44"/>
  <c r="F157" i="44"/>
  <c r="H151" i="44"/>
  <c r="P151" i="44"/>
  <c r="X151" i="44"/>
  <c r="AF151" i="44"/>
  <c r="AE149" i="44"/>
  <c r="V149" i="44"/>
  <c r="M149" i="44"/>
  <c r="D149" i="44"/>
  <c r="AJ147" i="44"/>
  <c r="AA147" i="44"/>
  <c r="Q147" i="44"/>
  <c r="C145" i="44"/>
  <c r="K145" i="44"/>
  <c r="S145" i="44"/>
  <c r="AA145" i="44"/>
  <c r="AI145" i="44"/>
  <c r="D145" i="44"/>
  <c r="L145" i="44"/>
  <c r="T145" i="44"/>
  <c r="AB145" i="44"/>
  <c r="AJ145" i="44"/>
  <c r="AD143" i="44"/>
  <c r="R143" i="44"/>
  <c r="H143" i="44"/>
  <c r="AA141" i="44"/>
  <c r="Q141" i="44"/>
  <c r="G141" i="44"/>
  <c r="AK139" i="44"/>
  <c r="AA139" i="44"/>
  <c r="T25" i="44"/>
  <c r="B199" i="44"/>
  <c r="AO157" i="44"/>
  <c r="AE157" i="44"/>
  <c r="W157" i="44"/>
  <c r="N157" i="44"/>
  <c r="D157" i="44"/>
  <c r="AD149" i="44"/>
  <c r="U149" i="44"/>
  <c r="L149" i="44"/>
  <c r="C149" i="44"/>
  <c r="J147" i="44"/>
  <c r="R147" i="44"/>
  <c r="Z147" i="44"/>
  <c r="AH147" i="44"/>
  <c r="AA143" i="44"/>
  <c r="Q143" i="44"/>
  <c r="G143" i="44"/>
  <c r="AJ141" i="44"/>
  <c r="Z141" i="44"/>
  <c r="P141" i="44"/>
  <c r="D141" i="44"/>
  <c r="F143" i="44"/>
  <c r="AL37" i="44"/>
  <c r="AD37" i="44"/>
  <c r="V37" i="44"/>
  <c r="N37" i="44"/>
  <c r="F37" i="44"/>
  <c r="M37" i="44"/>
  <c r="E37" i="44"/>
  <c r="L37" i="44"/>
  <c r="D37" i="44"/>
  <c r="B85" i="44"/>
  <c r="B76" i="44"/>
  <c r="AI37" i="44"/>
  <c r="AA37" i="44"/>
  <c r="S37" i="44"/>
  <c r="K37" i="44"/>
  <c r="C37" i="44"/>
  <c r="T35" i="44"/>
  <c r="L35" i="44"/>
  <c r="AH37" i="44"/>
  <c r="Z37" i="44"/>
  <c r="R37" i="44"/>
  <c r="J37" i="44"/>
  <c r="AA35" i="44"/>
  <c r="S35" i="44"/>
  <c r="B56" i="44"/>
  <c r="AG37" i="44"/>
  <c r="Y37" i="44"/>
  <c r="Q37" i="44"/>
  <c r="I37" i="44"/>
  <c r="AH35" i="44"/>
  <c r="U25" i="43"/>
  <c r="H9" i="43"/>
  <c r="V9" i="43"/>
  <c r="AJ9" i="43"/>
  <c r="L9" i="43"/>
  <c r="W9" i="43"/>
  <c r="AK9" i="43"/>
  <c r="M9" i="43"/>
  <c r="AL9" i="43"/>
  <c r="N9" i="43"/>
  <c r="AB9" i="43"/>
  <c r="D9" i="43"/>
  <c r="O9" i="43"/>
  <c r="AC9" i="43"/>
  <c r="AF157" i="43"/>
  <c r="X157" i="43"/>
  <c r="P157" i="43"/>
  <c r="H157" i="43"/>
  <c r="AG155" i="43"/>
  <c r="Y155" i="43"/>
  <c r="Q155" i="43"/>
  <c r="I155" i="43"/>
  <c r="AO154" i="43"/>
  <c r="D153" i="43"/>
  <c r="L153" i="43"/>
  <c r="T153" i="43"/>
  <c r="AE149" i="43"/>
  <c r="T149" i="43"/>
  <c r="AC145" i="43"/>
  <c r="Q145" i="43"/>
  <c r="D145" i="43"/>
  <c r="H141" i="43"/>
  <c r="P141" i="43"/>
  <c r="X141" i="43"/>
  <c r="AF141" i="43"/>
  <c r="J141" i="43"/>
  <c r="R141" i="43"/>
  <c r="Z141" i="43"/>
  <c r="AH141" i="43"/>
  <c r="D141" i="43"/>
  <c r="L141" i="43"/>
  <c r="T141" i="43"/>
  <c r="AB141" i="43"/>
  <c r="AJ141" i="43"/>
  <c r="O139" i="43"/>
  <c r="AE98" i="43"/>
  <c r="X94" i="43"/>
  <c r="G94" i="43"/>
  <c r="AF37" i="43"/>
  <c r="AG9" i="43"/>
  <c r="E9" i="43"/>
  <c r="J37" i="43"/>
  <c r="R37" i="43"/>
  <c r="Z37" i="43"/>
  <c r="AH37" i="43"/>
  <c r="D37" i="43"/>
  <c r="L37" i="43"/>
  <c r="T37" i="43"/>
  <c r="AB37" i="43"/>
  <c r="AJ37" i="43"/>
  <c r="E37" i="43"/>
  <c r="M37" i="43"/>
  <c r="U37" i="43"/>
  <c r="AC37" i="43"/>
  <c r="AK37" i="43"/>
  <c r="K37" i="43"/>
  <c r="X37" i="43"/>
  <c r="AL37" i="43"/>
  <c r="O37" i="43"/>
  <c r="AA37" i="43"/>
  <c r="F37" i="43"/>
  <c r="Q37" i="43"/>
  <c r="AE37" i="43"/>
  <c r="B56" i="43"/>
  <c r="B177" i="43"/>
  <c r="F149" i="43"/>
  <c r="N149" i="43"/>
  <c r="V149" i="43"/>
  <c r="AD149" i="43"/>
  <c r="AL149" i="43"/>
  <c r="H149" i="43"/>
  <c r="P149" i="43"/>
  <c r="X149" i="43"/>
  <c r="AF149" i="43"/>
  <c r="AB145" i="43"/>
  <c r="O145" i="43"/>
  <c r="C145" i="43"/>
  <c r="N139" i="43"/>
  <c r="C98" i="43"/>
  <c r="K98" i="43"/>
  <c r="S98" i="43"/>
  <c r="AA98" i="43"/>
  <c r="AI98" i="43"/>
  <c r="D98" i="43"/>
  <c r="L98" i="43"/>
  <c r="T98" i="43"/>
  <c r="AB98" i="43"/>
  <c r="H98" i="43"/>
  <c r="R98" i="43"/>
  <c r="AD98" i="43"/>
  <c r="J98" i="43"/>
  <c r="V98" i="43"/>
  <c r="AF98" i="43"/>
  <c r="N98" i="43"/>
  <c r="X98" i="43"/>
  <c r="AH98" i="43"/>
  <c r="A111" i="43"/>
  <c r="A127" i="43"/>
  <c r="N124" i="43" s="1"/>
  <c r="W94" i="43"/>
  <c r="C94" i="43"/>
  <c r="B76" i="43"/>
  <c r="AD37" i="43"/>
  <c r="H37" i="43"/>
  <c r="C35" i="43"/>
  <c r="K35" i="43"/>
  <c r="S35" i="43"/>
  <c r="AA35" i="43"/>
  <c r="AI35" i="43"/>
  <c r="E35" i="43"/>
  <c r="M35" i="43"/>
  <c r="U35" i="43"/>
  <c r="AC35" i="43"/>
  <c r="AK35" i="43"/>
  <c r="F35" i="43"/>
  <c r="N35" i="43"/>
  <c r="V35" i="43"/>
  <c r="AD35" i="43"/>
  <c r="AL35" i="43"/>
  <c r="P35" i="43"/>
  <c r="AB35" i="43"/>
  <c r="G35" i="43"/>
  <c r="R35" i="43"/>
  <c r="AF35" i="43"/>
  <c r="B54" i="43"/>
  <c r="I35" i="43"/>
  <c r="W35" i="43"/>
  <c r="AH35" i="43"/>
  <c r="B74" i="43"/>
  <c r="AE9" i="43"/>
  <c r="N37" i="43"/>
  <c r="B186" i="43"/>
  <c r="B209" i="43" s="1"/>
  <c r="B224" i="43" s="1"/>
  <c r="AB149" i="43"/>
  <c r="R149" i="43"/>
  <c r="G149" i="43"/>
  <c r="AA145" i="43"/>
  <c r="M145" i="43"/>
  <c r="AK139" i="43"/>
  <c r="AC139" i="43"/>
  <c r="U139" i="43"/>
  <c r="M139" i="43"/>
  <c r="E139" i="43"/>
  <c r="B118" i="43"/>
  <c r="B109" i="43"/>
  <c r="F100" i="43"/>
  <c r="N100" i="43"/>
  <c r="V100" i="43"/>
  <c r="AD100" i="43"/>
  <c r="AL100" i="43"/>
  <c r="H100" i="43"/>
  <c r="P100" i="43"/>
  <c r="X100" i="43"/>
  <c r="AF100" i="43"/>
  <c r="J100" i="43"/>
  <c r="R100" i="43"/>
  <c r="Z100" i="43"/>
  <c r="AH100" i="43"/>
  <c r="Z98" i="43"/>
  <c r="I98" i="43"/>
  <c r="AI94" i="43"/>
  <c r="S94" i="43"/>
  <c r="C92" i="43"/>
  <c r="A107" i="43"/>
  <c r="A123" i="43"/>
  <c r="Y37" i="43"/>
  <c r="G37" i="43"/>
  <c r="AG35" i="43"/>
  <c r="L35" i="43"/>
  <c r="AD9" i="43"/>
  <c r="B195" i="43"/>
  <c r="B216" i="43" s="1"/>
  <c r="AN138" i="43"/>
  <c r="W37" i="43"/>
  <c r="C37" i="43"/>
  <c r="A52" i="43"/>
  <c r="A72" i="43"/>
  <c r="U9" i="43"/>
  <c r="AJ157" i="43"/>
  <c r="AB157" i="43"/>
  <c r="T157" i="43"/>
  <c r="L157" i="43"/>
  <c r="D157" i="43"/>
  <c r="AK155" i="43"/>
  <c r="AC155" i="43"/>
  <c r="U155" i="43"/>
  <c r="M155" i="43"/>
  <c r="E155" i="43"/>
  <c r="AL153" i="43"/>
  <c r="AD153" i="43"/>
  <c r="V153" i="43"/>
  <c r="M153" i="43"/>
  <c r="C153" i="43"/>
  <c r="AJ149" i="43"/>
  <c r="Z149" i="43"/>
  <c r="O149" i="43"/>
  <c r="D149" i="43"/>
  <c r="AJ145" i="43"/>
  <c r="W145" i="43"/>
  <c r="AC141" i="43"/>
  <c r="O141" i="43"/>
  <c r="C141" i="43"/>
  <c r="B124" i="43"/>
  <c r="AE100" i="43"/>
  <c r="S100" i="43"/>
  <c r="E100" i="43"/>
  <c r="AL98" i="43"/>
  <c r="W98" i="43"/>
  <c r="F98" i="43"/>
  <c r="AG94" i="43"/>
  <c r="V37" i="43"/>
  <c r="Z35" i="43"/>
  <c r="H35" i="43"/>
  <c r="V25" i="43"/>
  <c r="T9" i="43"/>
  <c r="F145" i="43"/>
  <c r="N145" i="43"/>
  <c r="V145" i="43"/>
  <c r="AD145" i="43"/>
  <c r="AL145" i="43"/>
  <c r="H145" i="43"/>
  <c r="P145" i="43"/>
  <c r="X145" i="43"/>
  <c r="AF145" i="43"/>
  <c r="J145" i="43"/>
  <c r="R145" i="43"/>
  <c r="Z145" i="43"/>
  <c r="AH145" i="43"/>
  <c r="I139" i="43"/>
  <c r="Q139" i="43"/>
  <c r="Y139" i="43"/>
  <c r="AG139" i="43"/>
  <c r="C139" i="43"/>
  <c r="K139" i="43"/>
  <c r="S139" i="43"/>
  <c r="AA139" i="43"/>
  <c r="AI139" i="43"/>
  <c r="A117" i="43"/>
  <c r="E94" i="43"/>
  <c r="M94" i="43"/>
  <c r="U94" i="43"/>
  <c r="AC94" i="43"/>
  <c r="AK94" i="43"/>
  <c r="F94" i="43"/>
  <c r="N94" i="43"/>
  <c r="V94" i="43"/>
  <c r="AD94" i="43"/>
  <c r="AL94" i="43"/>
  <c r="D94" i="43"/>
  <c r="P94" i="43"/>
  <c r="Z94" i="43"/>
  <c r="AJ94" i="43"/>
  <c r="B125" i="43"/>
  <c r="H94" i="43"/>
  <c r="R94" i="43"/>
  <c r="AB94" i="43"/>
  <c r="J94" i="43"/>
  <c r="T94" i="43"/>
  <c r="AF94" i="43"/>
  <c r="S37" i="43"/>
  <c r="AO36" i="43"/>
  <c r="Q9" i="43"/>
  <c r="AH157" i="43"/>
  <c r="Z157" i="43"/>
  <c r="R157" i="43"/>
  <c r="AI155" i="43"/>
  <c r="AA155" i="43"/>
  <c r="S155" i="43"/>
  <c r="K155" i="43"/>
  <c r="AJ153" i="43"/>
  <c r="AB153" i="43"/>
  <c r="S153" i="43"/>
  <c r="J153" i="43"/>
  <c r="AO152" i="43"/>
  <c r="AH149" i="43"/>
  <c r="W149" i="43"/>
  <c r="L149" i="43"/>
  <c r="AG145" i="43"/>
  <c r="T145" i="43"/>
  <c r="G145" i="43"/>
  <c r="AL141" i="43"/>
  <c r="Y141" i="43"/>
  <c r="M141" i="43"/>
  <c r="AO140" i="43"/>
  <c r="AE139" i="43"/>
  <c r="AJ98" i="43"/>
  <c r="Q98" i="43"/>
  <c r="AA94" i="43"/>
  <c r="K94" i="43"/>
  <c r="AI37" i="43"/>
  <c r="P37" i="43"/>
  <c r="G9" i="43"/>
  <c r="Y9" i="43"/>
  <c r="I9" i="43"/>
  <c r="AI143" i="43"/>
  <c r="AA143" i="43"/>
  <c r="S143" i="43"/>
  <c r="K143" i="43"/>
  <c r="C143" i="43"/>
  <c r="T92" i="43"/>
  <c r="AL92" i="43"/>
  <c r="AD92" i="43"/>
  <c r="V92" i="43"/>
  <c r="N92" i="43"/>
  <c r="F92" i="43"/>
  <c r="AC45" i="43"/>
  <c r="R45" i="43"/>
  <c r="D45" i="43"/>
  <c r="H41" i="43"/>
  <c r="P41" i="43"/>
  <c r="X41" i="43"/>
  <c r="AF41" i="43"/>
  <c r="J41" i="43"/>
  <c r="R41" i="43"/>
  <c r="Z41" i="43"/>
  <c r="AH41" i="43"/>
  <c r="C41" i="43"/>
  <c r="K41" i="43"/>
  <c r="S41" i="43"/>
  <c r="AA41" i="43"/>
  <c r="AI41" i="43"/>
  <c r="AC39" i="43"/>
  <c r="AG143" i="43"/>
  <c r="Y143" i="43"/>
  <c r="Q143" i="43"/>
  <c r="I143" i="43"/>
  <c r="D96" i="43"/>
  <c r="L96" i="43"/>
  <c r="T96" i="43"/>
  <c r="AB96" i="43"/>
  <c r="AJ96" i="43"/>
  <c r="E96" i="43"/>
  <c r="M96" i="43"/>
  <c r="U96" i="43"/>
  <c r="AC96" i="43"/>
  <c r="AK96" i="43"/>
  <c r="AA45" i="43"/>
  <c r="AO38" i="43"/>
  <c r="I39" i="43"/>
  <c r="Q39" i="43"/>
  <c r="Y39" i="43"/>
  <c r="AG39" i="43"/>
  <c r="C39" i="43"/>
  <c r="K39" i="43"/>
  <c r="S39" i="43"/>
  <c r="AA39" i="43"/>
  <c r="AI39" i="43"/>
  <c r="D39" i="43"/>
  <c r="L39" i="43"/>
  <c r="T39" i="43"/>
  <c r="AB39" i="43"/>
  <c r="AJ39" i="43"/>
  <c r="B78" i="43"/>
  <c r="B16" i="43"/>
  <c r="F45" i="43"/>
  <c r="N45" i="43"/>
  <c r="V45" i="43"/>
  <c r="AD45" i="43"/>
  <c r="AL45" i="43"/>
  <c r="H45" i="43"/>
  <c r="P45" i="43"/>
  <c r="X45" i="43"/>
  <c r="AF45" i="43"/>
  <c r="AO44" i="43"/>
  <c r="I45" i="43"/>
  <c r="Q45" i="43"/>
  <c r="Y45" i="43"/>
  <c r="AG45" i="43"/>
  <c r="B84" i="43"/>
  <c r="AI9" i="43"/>
  <c r="AA9" i="43"/>
  <c r="S9" i="43"/>
  <c r="K9" i="43"/>
  <c r="C9" i="43"/>
  <c r="AH9" i="43"/>
  <c r="Z9" i="43"/>
  <c r="R9" i="43"/>
  <c r="J9" i="43"/>
  <c r="A13" i="43"/>
  <c r="A23" i="43"/>
  <c r="AH43" i="43"/>
  <c r="Z43" i="43"/>
  <c r="R43" i="43"/>
  <c r="J43" i="43"/>
  <c r="AG43" i="43"/>
  <c r="Y43" i="43"/>
  <c r="Q43" i="43"/>
  <c r="I43" i="43"/>
  <c r="N223" i="42"/>
  <c r="A174" i="42"/>
  <c r="A198" i="42"/>
  <c r="AO157" i="42"/>
  <c r="S157" i="42"/>
  <c r="AI157" i="42"/>
  <c r="L157" i="42"/>
  <c r="B204" i="42"/>
  <c r="B223" i="42" s="1"/>
  <c r="AE157" i="42"/>
  <c r="K157" i="42"/>
  <c r="G100" i="42"/>
  <c r="AB157" i="42"/>
  <c r="G157" i="42"/>
  <c r="AA157" i="42"/>
  <c r="E139" i="42"/>
  <c r="AN138" i="42"/>
  <c r="N213" i="42"/>
  <c r="H157" i="42"/>
  <c r="P157" i="42"/>
  <c r="X157" i="42"/>
  <c r="AF157" i="42"/>
  <c r="AO156" i="42"/>
  <c r="I157" i="42"/>
  <c r="Q157" i="42"/>
  <c r="Y157" i="42"/>
  <c r="AG157" i="42"/>
  <c r="J157" i="42"/>
  <c r="R157" i="42"/>
  <c r="Z157" i="42"/>
  <c r="AH157" i="42"/>
  <c r="E157" i="42"/>
  <c r="M157" i="42"/>
  <c r="U157" i="42"/>
  <c r="AC157" i="42"/>
  <c r="AK157" i="42"/>
  <c r="B180" i="42"/>
  <c r="F157" i="42"/>
  <c r="N157" i="42"/>
  <c r="V157" i="42"/>
  <c r="AD157" i="42"/>
  <c r="AL157" i="42"/>
  <c r="A176" i="42"/>
  <c r="W157" i="42"/>
  <c r="C157" i="42"/>
  <c r="AO99" i="42"/>
  <c r="I100" i="42"/>
  <c r="Q100" i="42"/>
  <c r="Y100" i="42"/>
  <c r="AG100" i="42"/>
  <c r="J100" i="42"/>
  <c r="R100" i="42"/>
  <c r="Z100" i="42"/>
  <c r="AH100" i="42"/>
  <c r="C100" i="42"/>
  <c r="K100" i="42"/>
  <c r="S100" i="42"/>
  <c r="AA100" i="42"/>
  <c r="AI100" i="42"/>
  <c r="E100" i="42"/>
  <c r="M100" i="42"/>
  <c r="U100" i="42"/>
  <c r="AC100" i="42"/>
  <c r="AK100" i="42"/>
  <c r="F100" i="42"/>
  <c r="N100" i="42"/>
  <c r="V100" i="42"/>
  <c r="AD100" i="42"/>
  <c r="AL100" i="42"/>
  <c r="B115" i="42"/>
  <c r="H100" i="42"/>
  <c r="P100" i="42"/>
  <c r="X100" i="42"/>
  <c r="AF100" i="42"/>
  <c r="L100" i="42"/>
  <c r="O100" i="42"/>
  <c r="T100" i="42"/>
  <c r="AE100" i="42"/>
  <c r="D100" i="42"/>
  <c r="AJ100" i="42"/>
  <c r="N209" i="42"/>
  <c r="T157" i="42"/>
  <c r="B200" i="42"/>
  <c r="B219" i="42" s="1"/>
  <c r="AF153" i="42"/>
  <c r="X153" i="42"/>
  <c r="P153" i="42"/>
  <c r="H153" i="42"/>
  <c r="D143" i="42"/>
  <c r="L143" i="42"/>
  <c r="T143" i="42"/>
  <c r="AB143" i="42"/>
  <c r="AJ143" i="42"/>
  <c r="F143" i="42"/>
  <c r="N143" i="42"/>
  <c r="V143" i="42"/>
  <c r="AD143" i="42"/>
  <c r="AL143" i="42"/>
  <c r="H143" i="42"/>
  <c r="P143" i="42"/>
  <c r="X143" i="42"/>
  <c r="AF143" i="42"/>
  <c r="AO142" i="42"/>
  <c r="I143" i="42"/>
  <c r="Q143" i="42"/>
  <c r="Y143" i="42"/>
  <c r="AG143" i="42"/>
  <c r="C143" i="42"/>
  <c r="K143" i="42"/>
  <c r="S143" i="42"/>
  <c r="AA143" i="42"/>
  <c r="AI143" i="42"/>
  <c r="X139" i="42"/>
  <c r="P139" i="42"/>
  <c r="H139" i="42"/>
  <c r="E92" i="42"/>
  <c r="AI155" i="42"/>
  <c r="AA155" i="42"/>
  <c r="S155" i="42"/>
  <c r="K155" i="42"/>
  <c r="C155" i="42"/>
  <c r="AJ153" i="42"/>
  <c r="AB153" i="42"/>
  <c r="T153" i="42"/>
  <c r="L153" i="42"/>
  <c r="D153" i="42"/>
  <c r="AO148" i="42"/>
  <c r="I149" i="42"/>
  <c r="Q149" i="42"/>
  <c r="Y149" i="42"/>
  <c r="AG149" i="42"/>
  <c r="C149" i="42"/>
  <c r="K149" i="42"/>
  <c r="S149" i="42"/>
  <c r="AA149" i="42"/>
  <c r="AI149" i="42"/>
  <c r="H149" i="42"/>
  <c r="P149" i="42"/>
  <c r="X149" i="42"/>
  <c r="AF149" i="42"/>
  <c r="AC143" i="42"/>
  <c r="G143" i="42"/>
  <c r="AG139" i="42"/>
  <c r="L139" i="42"/>
  <c r="B124" i="42"/>
  <c r="AA92" i="42"/>
  <c r="B162" i="42"/>
  <c r="AH155" i="42"/>
  <c r="Z155" i="42"/>
  <c r="R155" i="42"/>
  <c r="AI153" i="42"/>
  <c r="AA153" i="42"/>
  <c r="S153" i="42"/>
  <c r="K153" i="42"/>
  <c r="C153" i="42"/>
  <c r="AJ149" i="42"/>
  <c r="V149" i="42"/>
  <c r="J149" i="42"/>
  <c r="Z143" i="42"/>
  <c r="E143" i="42"/>
  <c r="B123" i="42"/>
  <c r="AI92" i="42"/>
  <c r="K92" i="42"/>
  <c r="AH153" i="42"/>
  <c r="Z153" i="42"/>
  <c r="R153" i="42"/>
  <c r="F139" i="42"/>
  <c r="N139" i="42"/>
  <c r="V139" i="42"/>
  <c r="AD139" i="42"/>
  <c r="AL139" i="42"/>
  <c r="AF139" i="42"/>
  <c r="C139" i="42"/>
  <c r="K139" i="42"/>
  <c r="S139" i="42"/>
  <c r="AA139" i="42"/>
  <c r="AI139" i="42"/>
  <c r="A111" i="42"/>
  <c r="A127" i="42"/>
  <c r="O124" i="42" s="1"/>
  <c r="H92" i="42"/>
  <c r="S92" i="42"/>
  <c r="T92" i="42"/>
  <c r="AE92" i="42"/>
  <c r="AF92" i="42"/>
  <c r="X92" i="42"/>
  <c r="D92" i="42"/>
  <c r="O92" i="42"/>
  <c r="AJ92" i="42"/>
  <c r="B107" i="42"/>
  <c r="G92" i="42"/>
  <c r="AB92" i="42"/>
  <c r="S25" i="42"/>
  <c r="AG147" i="42"/>
  <c r="Y147" i="42"/>
  <c r="Q147" i="42"/>
  <c r="I147" i="42"/>
  <c r="AO146" i="42"/>
  <c r="AH145" i="42"/>
  <c r="Z145" i="42"/>
  <c r="R145" i="42"/>
  <c r="J145" i="42"/>
  <c r="B116" i="42"/>
  <c r="AH94" i="42"/>
  <c r="Y94" i="42"/>
  <c r="P94" i="42"/>
  <c r="G94" i="42"/>
  <c r="AN91" i="42"/>
  <c r="A84" i="42"/>
  <c r="O77" i="42" s="1"/>
  <c r="AC47" i="42"/>
  <c r="M47" i="42"/>
  <c r="V33" i="42"/>
  <c r="W25" i="42"/>
  <c r="AA9" i="42"/>
  <c r="S9" i="42"/>
  <c r="K9" i="42"/>
  <c r="J9" i="42"/>
  <c r="R9" i="42"/>
  <c r="Z9" i="42"/>
  <c r="AH9" i="42"/>
  <c r="C9" i="42"/>
  <c r="F9" i="42"/>
  <c r="N9" i="42"/>
  <c r="V9" i="42"/>
  <c r="AD9" i="42"/>
  <c r="AL9" i="42"/>
  <c r="AF145" i="42"/>
  <c r="X145" i="42"/>
  <c r="P145" i="42"/>
  <c r="H145" i="42"/>
  <c r="AK102" i="42"/>
  <c r="AC102" i="42"/>
  <c r="U102" i="42"/>
  <c r="M102" i="42"/>
  <c r="E102" i="42"/>
  <c r="AF94" i="42"/>
  <c r="W94" i="42"/>
  <c r="N94" i="42"/>
  <c r="D94" i="42"/>
  <c r="AG92" i="42"/>
  <c r="Y92" i="42"/>
  <c r="Q92" i="42"/>
  <c r="I92" i="42"/>
  <c r="W47" i="42"/>
  <c r="G47" i="42"/>
  <c r="AI45" i="42"/>
  <c r="S45" i="42"/>
  <c r="C45" i="42"/>
  <c r="AE43" i="42"/>
  <c r="AL33" i="42"/>
  <c r="AF9" i="42"/>
  <c r="I9" i="42"/>
  <c r="AJ102" i="42"/>
  <c r="AB102" i="42"/>
  <c r="T102" i="42"/>
  <c r="L102" i="42"/>
  <c r="D102" i="42"/>
  <c r="AE94" i="42"/>
  <c r="V94" i="42"/>
  <c r="L94" i="42"/>
  <c r="C94" i="42"/>
  <c r="C92" i="42"/>
  <c r="A66" i="42"/>
  <c r="AL47" i="42"/>
  <c r="V47" i="42"/>
  <c r="F47" i="42"/>
  <c r="AF45" i="42"/>
  <c r="J43" i="42"/>
  <c r="R43" i="42"/>
  <c r="Z43" i="42"/>
  <c r="AH43" i="42"/>
  <c r="B62" i="42"/>
  <c r="C43" i="42"/>
  <c r="K43" i="42"/>
  <c r="S43" i="42"/>
  <c r="AA43" i="42"/>
  <c r="AI43" i="42"/>
  <c r="E43" i="42"/>
  <c r="M43" i="42"/>
  <c r="U43" i="42"/>
  <c r="AC43" i="42"/>
  <c r="AK43" i="42"/>
  <c r="B82" i="42"/>
  <c r="F43" i="42"/>
  <c r="N43" i="42"/>
  <c r="V43" i="42"/>
  <c r="AD43" i="42"/>
  <c r="AL43" i="42"/>
  <c r="AK33" i="42"/>
  <c r="N33" i="42"/>
  <c r="Q25" i="42"/>
  <c r="AE9" i="42"/>
  <c r="H9" i="42"/>
  <c r="AJ147" i="42"/>
  <c r="AB147" i="42"/>
  <c r="T147" i="42"/>
  <c r="L147" i="42"/>
  <c r="D147" i="42"/>
  <c r="AK145" i="42"/>
  <c r="AC145" i="42"/>
  <c r="U145" i="42"/>
  <c r="M145" i="42"/>
  <c r="E145" i="42"/>
  <c r="AH102" i="42"/>
  <c r="Z102" i="42"/>
  <c r="R102" i="42"/>
  <c r="AL94" i="42"/>
  <c r="AB94" i="42"/>
  <c r="S94" i="42"/>
  <c r="J94" i="42"/>
  <c r="AL92" i="42"/>
  <c r="AD92" i="42"/>
  <c r="V92" i="42"/>
  <c r="N92" i="42"/>
  <c r="F92" i="42"/>
  <c r="AH47" i="42"/>
  <c r="AO44" i="42"/>
  <c r="I45" i="42"/>
  <c r="Q45" i="42"/>
  <c r="Y45" i="42"/>
  <c r="AG45" i="42"/>
  <c r="J45" i="42"/>
  <c r="R45" i="42"/>
  <c r="Z45" i="42"/>
  <c r="AH45" i="42"/>
  <c r="D45" i="42"/>
  <c r="L45" i="42"/>
  <c r="T45" i="42"/>
  <c r="AB45" i="42"/>
  <c r="AJ45" i="42"/>
  <c r="E45" i="42"/>
  <c r="M45" i="42"/>
  <c r="U45" i="42"/>
  <c r="AC45" i="42"/>
  <c r="AK45" i="42"/>
  <c r="AI33" i="42"/>
  <c r="AA33" i="42"/>
  <c r="S33" i="42"/>
  <c r="K33" i="42"/>
  <c r="AN32" i="42"/>
  <c r="C33" i="42"/>
  <c r="X9" i="42"/>
  <c r="H33" i="42"/>
  <c r="P33" i="42"/>
  <c r="X33" i="42"/>
  <c r="AF33" i="42"/>
  <c r="I33" i="42"/>
  <c r="Q33" i="42"/>
  <c r="Y33" i="42"/>
  <c r="AG33" i="42"/>
  <c r="Y25" i="42"/>
  <c r="AK9" i="42"/>
  <c r="AC9" i="42"/>
  <c r="U9" i="42"/>
  <c r="M9" i="42"/>
  <c r="E9" i="42"/>
  <c r="Z147" i="42"/>
  <c r="R147" i="42"/>
  <c r="AI145" i="42"/>
  <c r="AA145" i="42"/>
  <c r="S145" i="42"/>
  <c r="K145" i="42"/>
  <c r="E94" i="42"/>
  <c r="M94" i="42"/>
  <c r="U94" i="42"/>
  <c r="AC94" i="42"/>
  <c r="AK94" i="42"/>
  <c r="H47" i="42"/>
  <c r="P47" i="42"/>
  <c r="X47" i="42"/>
  <c r="AF47" i="42"/>
  <c r="B66" i="42"/>
  <c r="AO46" i="42"/>
  <c r="I47" i="42"/>
  <c r="Q47" i="42"/>
  <c r="Y47" i="42"/>
  <c r="AG47" i="42"/>
  <c r="C47" i="42"/>
  <c r="K47" i="42"/>
  <c r="S47" i="42"/>
  <c r="AA47" i="42"/>
  <c r="AI47" i="42"/>
  <c r="D47" i="42"/>
  <c r="L47" i="42"/>
  <c r="T47" i="42"/>
  <c r="AB47" i="42"/>
  <c r="AJ47" i="42"/>
  <c r="E33" i="42"/>
  <c r="X25" i="42"/>
  <c r="AJ9" i="42"/>
  <c r="AB9" i="42"/>
  <c r="T9" i="42"/>
  <c r="L9" i="42"/>
  <c r="D9" i="42"/>
  <c r="AG37" i="42"/>
  <c r="Y37" i="42"/>
  <c r="Q37" i="42"/>
  <c r="I37" i="42"/>
  <c r="AO36" i="42"/>
  <c r="AL41" i="42"/>
  <c r="AD41" i="42"/>
  <c r="V41" i="42"/>
  <c r="N41" i="42"/>
  <c r="F41" i="42"/>
  <c r="AF37" i="42"/>
  <c r="X37" i="42"/>
  <c r="P37" i="42"/>
  <c r="H37" i="42"/>
  <c r="AG35" i="42"/>
  <c r="Y35" i="42"/>
  <c r="Q35" i="42"/>
  <c r="I35" i="42"/>
  <c r="AO34" i="42"/>
  <c r="AJ41" i="42"/>
  <c r="AB41" i="42"/>
  <c r="T41" i="42"/>
  <c r="L41" i="42"/>
  <c r="D41" i="42"/>
  <c r="AL37" i="42"/>
  <c r="AD37" i="42"/>
  <c r="V37" i="42"/>
  <c r="N37" i="42"/>
  <c r="F37" i="42"/>
  <c r="AI41" i="42"/>
  <c r="AA41" i="42"/>
  <c r="S41" i="42"/>
  <c r="K41" i="42"/>
  <c r="T39" i="42"/>
  <c r="L39" i="42"/>
  <c r="AK37" i="42"/>
  <c r="AC37" i="42"/>
  <c r="U37" i="42"/>
  <c r="M37" i="42"/>
  <c r="AL35" i="42"/>
  <c r="AD35" i="42"/>
  <c r="V35" i="42"/>
  <c r="N35" i="42"/>
  <c r="U71" i="41"/>
  <c r="U68" i="41"/>
  <c r="M12" i="41"/>
  <c r="D64" i="41"/>
  <c r="N60" i="41" s="1"/>
  <c r="M72" i="41" s="1"/>
  <c r="I60" i="41"/>
  <c r="G56" i="41"/>
  <c r="Q54" i="41" s="1"/>
  <c r="P69" i="41" s="1"/>
  <c r="A55" i="41"/>
  <c r="K53" i="41" s="1"/>
  <c r="K69" i="41" s="1"/>
  <c r="B54" i="41"/>
  <c r="L52" i="41" s="1"/>
  <c r="L53" i="41"/>
  <c r="E52" i="41"/>
  <c r="C64" i="41"/>
  <c r="M60" i="41" s="1"/>
  <c r="L72" i="41" s="1"/>
  <c r="S72" i="41" s="1"/>
  <c r="U72" i="41" s="1"/>
  <c r="F56" i="41"/>
  <c r="P54" i="41" s="1"/>
  <c r="O69" i="41" s="1"/>
  <c r="A65" i="41"/>
  <c r="B64" i="41"/>
  <c r="L60" i="41" s="1"/>
  <c r="G60" i="41"/>
  <c r="A59" i="41"/>
  <c r="L57" i="41"/>
  <c r="E56" i="41"/>
  <c r="O54" i="41" s="1"/>
  <c r="N69" i="41" s="1"/>
  <c r="C52" i="41"/>
  <c r="D56" i="41"/>
  <c r="N54" i="41" s="1"/>
  <c r="M69" i="41" s="1"/>
  <c r="L51" i="41"/>
  <c r="F66" i="41"/>
  <c r="H64" i="41"/>
  <c r="R60" i="41" s="1"/>
  <c r="Q72" i="41" s="1"/>
  <c r="A63" i="41"/>
  <c r="K59" i="41" s="1"/>
  <c r="K72" i="41" s="1"/>
  <c r="L61" i="41"/>
  <c r="E60" i="41"/>
  <c r="C56" i="41"/>
  <c r="M54" i="41" s="1"/>
  <c r="L69" i="41" s="1"/>
  <c r="S69" i="41" s="1"/>
  <c r="I52" i="41"/>
  <c r="E66" i="41"/>
  <c r="G64" i="41"/>
  <c r="Q60" i="41" s="1"/>
  <c r="P72" i="41" s="1"/>
  <c r="D60" i="41"/>
  <c r="B56" i="41"/>
  <c r="L54" i="41" s="1"/>
  <c r="H56" i="41"/>
  <c r="R54" i="41" s="1"/>
  <c r="Q69" i="41" s="1"/>
  <c r="G52" i="41"/>
  <c r="S89" i="40"/>
  <c r="Q90" i="40"/>
  <c r="R58" i="40"/>
  <c r="Q55" i="40"/>
  <c r="S55" i="40" s="1"/>
  <c r="I16" i="40"/>
  <c r="J16" i="40" s="1"/>
  <c r="K40" i="40"/>
  <c r="Q40" i="40" s="1"/>
  <c r="K39" i="40"/>
  <c r="Q39" i="40" s="1"/>
  <c r="S39" i="40" s="1"/>
  <c r="I13" i="40"/>
  <c r="J13" i="40" s="1"/>
  <c r="S25" i="40"/>
  <c r="Q91" i="40"/>
  <c r="S91" i="40" s="1"/>
  <c r="Q87" i="40"/>
  <c r="R56" i="40"/>
  <c r="Q93" i="40"/>
  <c r="S93" i="40" s="1"/>
  <c r="S35" i="40"/>
  <c r="K36" i="40"/>
  <c r="Q24" i="40"/>
  <c r="S24" i="40" s="1"/>
  <c r="S94" i="40"/>
  <c r="Q88" i="40"/>
  <c r="S88" i="40" s="1"/>
  <c r="R87" i="40"/>
  <c r="R41" i="40"/>
  <c r="R40" i="40"/>
  <c r="R90" i="40"/>
  <c r="Q83" i="40"/>
  <c r="P94" i="40" s="1"/>
  <c r="K41" i="40"/>
  <c r="Q41" i="40" s="1"/>
  <c r="S41" i="40" s="1"/>
  <c r="H29" i="40"/>
  <c r="P26" i="40" s="1"/>
  <c r="F39" i="40"/>
  <c r="N36" i="40" s="1"/>
  <c r="H35" i="40"/>
  <c r="P34" i="40" s="1"/>
  <c r="G29" i="40"/>
  <c r="O26" i="40" s="1"/>
  <c r="I7" i="40"/>
  <c r="J7" i="40" s="1"/>
  <c r="C64" i="40"/>
  <c r="K58" i="40" s="1"/>
  <c r="Q58" i="40" s="1"/>
  <c r="D62" i="40"/>
  <c r="L57" i="40" s="1"/>
  <c r="H58" i="40"/>
  <c r="P55" i="40" s="1"/>
  <c r="E56" i="40"/>
  <c r="M54" i="40" s="1"/>
  <c r="R54" i="40" s="1"/>
  <c r="E39" i="40"/>
  <c r="G35" i="40"/>
  <c r="O34" i="40" s="1"/>
  <c r="F29" i="40"/>
  <c r="N26" i="40" s="1"/>
  <c r="E25" i="40"/>
  <c r="M24" i="40" s="1"/>
  <c r="R24" i="40" s="1"/>
  <c r="I11" i="40"/>
  <c r="J11" i="40" s="1"/>
  <c r="C62" i="40"/>
  <c r="K57" i="40" s="1"/>
  <c r="D56" i="40"/>
  <c r="L54" i="40" s="1"/>
  <c r="Q54" i="40" s="1"/>
  <c r="S54" i="40" s="1"/>
  <c r="M39" i="40"/>
  <c r="R39" i="40" s="1"/>
  <c r="D39" i="40"/>
  <c r="L36" i="40" s="1"/>
  <c r="E29" i="40"/>
  <c r="M26" i="40" s="1"/>
  <c r="D25" i="40"/>
  <c r="L24" i="40" s="1"/>
  <c r="I20" i="40"/>
  <c r="J20" i="40" s="1"/>
  <c r="E35" i="40"/>
  <c r="M34" i="40" s="1"/>
  <c r="R34" i="40" s="1"/>
  <c r="D29" i="40"/>
  <c r="L26" i="40" s="1"/>
  <c r="Q26" i="40" s="1"/>
  <c r="I10" i="40"/>
  <c r="J10" i="40" s="1"/>
  <c r="J82" i="40"/>
  <c r="H64" i="40"/>
  <c r="P58" i="40" s="1"/>
  <c r="P3" i="39"/>
  <c r="E24" i="39"/>
  <c r="Z35" i="44" l="1"/>
  <c r="K35" i="44"/>
  <c r="D35" i="44"/>
  <c r="AI35" i="44"/>
  <c r="AB35" i="44"/>
  <c r="AJ35" i="44"/>
  <c r="B132" i="44"/>
  <c r="O158" i="44"/>
  <c r="AK158" i="44"/>
  <c r="R35" i="44"/>
  <c r="AE33" i="42"/>
  <c r="A13" i="44"/>
  <c r="A23" i="44"/>
  <c r="B73" i="44"/>
  <c r="B53" i="44"/>
  <c r="C102" i="44"/>
  <c r="K102" i="44"/>
  <c r="S102" i="44"/>
  <c r="AA102" i="44"/>
  <c r="AI102" i="44"/>
  <c r="B117" i="44"/>
  <c r="D102" i="44"/>
  <c r="L102" i="44"/>
  <c r="T102" i="44"/>
  <c r="AB102" i="44"/>
  <c r="AJ102" i="44"/>
  <c r="B133" i="44"/>
  <c r="E102" i="44"/>
  <c r="M102" i="44"/>
  <c r="U102" i="44"/>
  <c r="AC102" i="44"/>
  <c r="AK102" i="44"/>
  <c r="F102" i="44"/>
  <c r="N102" i="44"/>
  <c r="V102" i="44"/>
  <c r="AD102" i="44"/>
  <c r="AL102" i="44"/>
  <c r="H102" i="44"/>
  <c r="P102" i="44"/>
  <c r="X102" i="44"/>
  <c r="AF102" i="44"/>
  <c r="J102" i="44"/>
  <c r="R102" i="44"/>
  <c r="Z102" i="44"/>
  <c r="AH102" i="44"/>
  <c r="O102" i="44"/>
  <c r="Q102" i="44"/>
  <c r="W102" i="44"/>
  <c r="Y102" i="44"/>
  <c r="AE102" i="44"/>
  <c r="AO101" i="44"/>
  <c r="AG102" i="44"/>
  <c r="G102" i="44"/>
  <c r="I102" i="44"/>
  <c r="A40" i="43"/>
  <c r="A60" i="42"/>
  <c r="A80" i="42"/>
  <c r="O75" i="42" s="1"/>
  <c r="A99" i="43"/>
  <c r="A115" i="42"/>
  <c r="A131" i="42"/>
  <c r="O126" i="42" s="1"/>
  <c r="C41" i="42"/>
  <c r="J41" i="42"/>
  <c r="X41" i="42"/>
  <c r="AK41" i="42"/>
  <c r="M41" i="42"/>
  <c r="Y41" i="42"/>
  <c r="AO40" i="42"/>
  <c r="O41" i="42"/>
  <c r="Z41" i="42"/>
  <c r="P41" i="42"/>
  <c r="AC41" i="42"/>
  <c r="B60" i="42"/>
  <c r="E41" i="42"/>
  <c r="Q41" i="42"/>
  <c r="AE41" i="42"/>
  <c r="B80" i="42"/>
  <c r="G41" i="42"/>
  <c r="R41" i="42"/>
  <c r="AF41" i="42"/>
  <c r="H41" i="42"/>
  <c r="U41" i="42"/>
  <c r="AG41" i="42"/>
  <c r="I41" i="42"/>
  <c r="W41" i="42"/>
  <c r="AH41" i="42"/>
  <c r="B131" i="42"/>
  <c r="W100" i="42"/>
  <c r="AB100" i="42"/>
  <c r="N210" i="43"/>
  <c r="A213" i="44"/>
  <c r="N210" i="44" s="1"/>
  <c r="B61" i="42"/>
  <c r="B81" i="42"/>
  <c r="M45" i="43"/>
  <c r="C45" i="43"/>
  <c r="T45" i="43"/>
  <c r="AJ45" i="43"/>
  <c r="G45" i="43"/>
  <c r="W45" i="43"/>
  <c r="O45" i="43"/>
  <c r="AH45" i="43"/>
  <c r="AB45" i="43"/>
  <c r="E45" i="43"/>
  <c r="AE45" i="43"/>
  <c r="B64" i="43"/>
  <c r="J45" i="43"/>
  <c r="AI45" i="43"/>
  <c r="K45" i="43"/>
  <c r="AK45" i="43"/>
  <c r="L45" i="43"/>
  <c r="S45" i="43"/>
  <c r="U45" i="43"/>
  <c r="Z45" i="43"/>
  <c r="B130" i="43"/>
  <c r="B114" i="43"/>
  <c r="B167" i="43"/>
  <c r="B191" i="43"/>
  <c r="B175" i="43"/>
  <c r="B199" i="43"/>
  <c r="J68" i="40"/>
  <c r="J87" i="40" s="1"/>
  <c r="A138" i="42"/>
  <c r="B55" i="44"/>
  <c r="B75" i="44"/>
  <c r="A200" i="42"/>
  <c r="A219" i="42" s="1"/>
  <c r="O213" i="42" s="1"/>
  <c r="A152" i="43"/>
  <c r="C92" i="44"/>
  <c r="L92" i="44"/>
  <c r="V92" i="44"/>
  <c r="AE92" i="44"/>
  <c r="D92" i="44"/>
  <c r="N92" i="44"/>
  <c r="W92" i="44"/>
  <c r="AF92" i="44"/>
  <c r="F92" i="44"/>
  <c r="O92" i="44"/>
  <c r="X92" i="44"/>
  <c r="AG92" i="44"/>
  <c r="B123" i="44"/>
  <c r="G92" i="44"/>
  <c r="P92" i="44"/>
  <c r="Y92" i="44"/>
  <c r="AH92" i="44"/>
  <c r="H92" i="44"/>
  <c r="AC103" i="44" s="1"/>
  <c r="Q92" i="44"/>
  <c r="Z92" i="44"/>
  <c r="AI92" i="44"/>
  <c r="I92" i="44"/>
  <c r="R92" i="44"/>
  <c r="AA92" i="44"/>
  <c r="AJ92" i="44"/>
  <c r="B107" i="44"/>
  <c r="K92" i="44"/>
  <c r="T92" i="44"/>
  <c r="AD92" i="44"/>
  <c r="S92" i="44"/>
  <c r="AB92" i="44"/>
  <c r="AL92" i="44"/>
  <c r="J92" i="44"/>
  <c r="A198" i="44"/>
  <c r="A174" i="44"/>
  <c r="S87" i="40"/>
  <c r="J94" i="40"/>
  <c r="A223" i="42"/>
  <c r="R158" i="44"/>
  <c r="A36" i="43"/>
  <c r="A56" i="42"/>
  <c r="A76" i="42"/>
  <c r="O73" i="42" s="1"/>
  <c r="A164" i="43"/>
  <c r="A140" i="44"/>
  <c r="A188" i="43"/>
  <c r="A211" i="43" s="1"/>
  <c r="E37" i="42"/>
  <c r="D37" i="42"/>
  <c r="T37" i="42"/>
  <c r="AJ37" i="42"/>
  <c r="B76" i="42"/>
  <c r="G37" i="42"/>
  <c r="W37" i="42"/>
  <c r="J37" i="42"/>
  <c r="Z37" i="42"/>
  <c r="K37" i="42"/>
  <c r="AA37" i="42"/>
  <c r="L37" i="42"/>
  <c r="AB37" i="42"/>
  <c r="B56" i="42"/>
  <c r="O37" i="42"/>
  <c r="AE37" i="42"/>
  <c r="R37" i="42"/>
  <c r="AH37" i="42"/>
  <c r="C37" i="42"/>
  <c r="S37" i="42"/>
  <c r="AI37" i="42"/>
  <c r="C96" i="42"/>
  <c r="K96" i="42"/>
  <c r="S96" i="42"/>
  <c r="AA96" i="42"/>
  <c r="AI96" i="42"/>
  <c r="D96" i="42"/>
  <c r="L96" i="42"/>
  <c r="T96" i="42"/>
  <c r="AB96" i="42"/>
  <c r="AJ96" i="42"/>
  <c r="E96" i="42"/>
  <c r="M96" i="42"/>
  <c r="U96" i="42"/>
  <c r="AC96" i="42"/>
  <c r="AK96" i="42"/>
  <c r="F96" i="42"/>
  <c r="N96" i="42"/>
  <c r="V96" i="42"/>
  <c r="AD96" i="42"/>
  <c r="AL96" i="42"/>
  <c r="G96" i="42"/>
  <c r="O96" i="42"/>
  <c r="W96" i="42"/>
  <c r="AE96" i="42"/>
  <c r="B111" i="42"/>
  <c r="H96" i="42"/>
  <c r="P96" i="42"/>
  <c r="X96" i="42"/>
  <c r="AF96" i="42"/>
  <c r="B127" i="42"/>
  <c r="AO95" i="42"/>
  <c r="I96" i="42"/>
  <c r="Q96" i="42"/>
  <c r="Y96" i="42"/>
  <c r="AG96" i="42"/>
  <c r="J96" i="42"/>
  <c r="R96" i="42"/>
  <c r="Z96" i="42"/>
  <c r="AH96" i="42"/>
  <c r="G41" i="43"/>
  <c r="U41" i="43"/>
  <c r="AG41" i="43"/>
  <c r="L41" i="43"/>
  <c r="W41" i="43"/>
  <c r="AK41" i="43"/>
  <c r="D41" i="43"/>
  <c r="O41" i="43"/>
  <c r="AC41" i="43"/>
  <c r="E41" i="43"/>
  <c r="Q41" i="43"/>
  <c r="AD41" i="43"/>
  <c r="AO40" i="43"/>
  <c r="Y41" i="43"/>
  <c r="AB41" i="43"/>
  <c r="F41" i="43"/>
  <c r="AE41" i="43"/>
  <c r="I41" i="43"/>
  <c r="AJ41" i="43"/>
  <c r="B60" i="43"/>
  <c r="M41" i="43"/>
  <c r="AL41" i="43"/>
  <c r="B80" i="43"/>
  <c r="N41" i="43"/>
  <c r="T41" i="43"/>
  <c r="V41" i="43"/>
  <c r="B112" i="42"/>
  <c r="B128" i="42"/>
  <c r="K100" i="43"/>
  <c r="Y100" i="43"/>
  <c r="L100" i="43"/>
  <c r="AA100" i="43"/>
  <c r="AO99" i="43"/>
  <c r="M100" i="43"/>
  <c r="AB100" i="43"/>
  <c r="O100" i="43"/>
  <c r="AC100" i="43"/>
  <c r="C100" i="43"/>
  <c r="Q100" i="43"/>
  <c r="AG100" i="43"/>
  <c r="D100" i="43"/>
  <c r="T100" i="43"/>
  <c r="AI100" i="43"/>
  <c r="B115" i="43"/>
  <c r="B131" i="43"/>
  <c r="G100" i="43"/>
  <c r="U100" i="43"/>
  <c r="AJ100" i="43"/>
  <c r="I100" i="43"/>
  <c r="W100" i="43"/>
  <c r="AK100" i="43"/>
  <c r="A192" i="44"/>
  <c r="A168" i="44"/>
  <c r="B61" i="43"/>
  <c r="B81" i="43"/>
  <c r="AO44" i="44"/>
  <c r="I45" i="44"/>
  <c r="Q45" i="44"/>
  <c r="Y45" i="44"/>
  <c r="AG45" i="44"/>
  <c r="B84" i="44"/>
  <c r="J45" i="44"/>
  <c r="R45" i="44"/>
  <c r="Z45" i="44"/>
  <c r="AH45" i="44"/>
  <c r="B64" i="44"/>
  <c r="C45" i="44"/>
  <c r="K45" i="44"/>
  <c r="S45" i="44"/>
  <c r="AA45" i="44"/>
  <c r="AI45" i="44"/>
  <c r="D45" i="44"/>
  <c r="L45" i="44"/>
  <c r="T45" i="44"/>
  <c r="AB45" i="44"/>
  <c r="AJ45" i="44"/>
  <c r="E45" i="44"/>
  <c r="M45" i="44"/>
  <c r="U45" i="44"/>
  <c r="AC45" i="44"/>
  <c r="AK45" i="44"/>
  <c r="F45" i="44"/>
  <c r="N45" i="44"/>
  <c r="V45" i="44"/>
  <c r="AD45" i="44"/>
  <c r="AL45" i="44"/>
  <c r="H45" i="44"/>
  <c r="P45" i="44"/>
  <c r="X45" i="44"/>
  <c r="AF45" i="44"/>
  <c r="W45" i="44"/>
  <c r="AE45" i="44"/>
  <c r="G45" i="44"/>
  <c r="O45" i="44"/>
  <c r="B114" i="44"/>
  <c r="B130" i="44"/>
  <c r="B167" i="44"/>
  <c r="B191" i="44"/>
  <c r="B87" i="42"/>
  <c r="B67" i="42"/>
  <c r="A78" i="42"/>
  <c r="O74" i="42" s="1"/>
  <c r="A38" i="43"/>
  <c r="A58" i="42"/>
  <c r="AO93" i="42"/>
  <c r="O94" i="42"/>
  <c r="AG94" i="42"/>
  <c r="Q94" i="42"/>
  <c r="AI94" i="42"/>
  <c r="B109" i="42"/>
  <c r="R94" i="42"/>
  <c r="AJ94" i="42"/>
  <c r="T94" i="42"/>
  <c r="B125" i="42"/>
  <c r="F94" i="42"/>
  <c r="X94" i="42"/>
  <c r="H94" i="42"/>
  <c r="Z94" i="42"/>
  <c r="I94" i="42"/>
  <c r="AA94" i="42"/>
  <c r="K94" i="42"/>
  <c r="AD94" i="42"/>
  <c r="AD33" i="42"/>
  <c r="M33" i="42"/>
  <c r="U33" i="42"/>
  <c r="B72" i="42"/>
  <c r="AC33" i="42"/>
  <c r="AJ33" i="42"/>
  <c r="B52" i="42"/>
  <c r="F33" i="42"/>
  <c r="I37" i="43"/>
  <c r="AG37" i="43"/>
  <c r="F96" i="43"/>
  <c r="P96" i="43"/>
  <c r="Z96" i="43"/>
  <c r="AL96" i="43"/>
  <c r="G96" i="43"/>
  <c r="Q96" i="43"/>
  <c r="AA96" i="43"/>
  <c r="H96" i="43"/>
  <c r="R96" i="43"/>
  <c r="AD96" i="43"/>
  <c r="I96" i="43"/>
  <c r="S96" i="43"/>
  <c r="AE96" i="43"/>
  <c r="J96" i="43"/>
  <c r="V96" i="43"/>
  <c r="AF96" i="43"/>
  <c r="B127" i="43"/>
  <c r="AO95" i="43"/>
  <c r="K96" i="43"/>
  <c r="W96" i="43"/>
  <c r="AG96" i="43"/>
  <c r="N96" i="43"/>
  <c r="X96" i="43"/>
  <c r="AH96" i="43"/>
  <c r="B111" i="43"/>
  <c r="C96" i="43"/>
  <c r="O96" i="43"/>
  <c r="Y96" i="43"/>
  <c r="AI96" i="43"/>
  <c r="A148" i="43"/>
  <c r="A196" i="42"/>
  <c r="A217" i="42" s="1"/>
  <c r="O212" i="42" s="1"/>
  <c r="A172" i="42"/>
  <c r="B118" i="42"/>
  <c r="B134" i="42"/>
  <c r="C41" i="44"/>
  <c r="K41" i="44"/>
  <c r="S41" i="44"/>
  <c r="AA41" i="44"/>
  <c r="AI41" i="44"/>
  <c r="D41" i="44"/>
  <c r="L41" i="44"/>
  <c r="T41" i="44"/>
  <c r="AB41" i="44"/>
  <c r="AJ41" i="44"/>
  <c r="B60" i="44"/>
  <c r="E41" i="44"/>
  <c r="M41" i="44"/>
  <c r="U41" i="44"/>
  <c r="AC41" i="44"/>
  <c r="AK41" i="44"/>
  <c r="B80" i="44"/>
  <c r="F41" i="44"/>
  <c r="N41" i="44"/>
  <c r="V41" i="44"/>
  <c r="AD41" i="44"/>
  <c r="AL41" i="44"/>
  <c r="G41" i="44"/>
  <c r="O41" i="44"/>
  <c r="W41" i="44"/>
  <c r="AE41" i="44"/>
  <c r="H41" i="44"/>
  <c r="P41" i="44"/>
  <c r="X41" i="44"/>
  <c r="AF41" i="44"/>
  <c r="J41" i="44"/>
  <c r="R41" i="44"/>
  <c r="Z41" i="44"/>
  <c r="AH41" i="44"/>
  <c r="AO40" i="44"/>
  <c r="I41" i="44"/>
  <c r="Q41" i="44"/>
  <c r="Y41" i="44"/>
  <c r="AG41" i="44"/>
  <c r="B112" i="43"/>
  <c r="B128" i="43"/>
  <c r="D100" i="44"/>
  <c r="L100" i="44"/>
  <c r="T100" i="44"/>
  <c r="AB100" i="44"/>
  <c r="AJ100" i="44"/>
  <c r="E100" i="44"/>
  <c r="M100" i="44"/>
  <c r="U100" i="44"/>
  <c r="AC100" i="44"/>
  <c r="AK100" i="44"/>
  <c r="F100" i="44"/>
  <c r="N100" i="44"/>
  <c r="V100" i="44"/>
  <c r="AD100" i="44"/>
  <c r="AL100" i="44"/>
  <c r="G100" i="44"/>
  <c r="O100" i="44"/>
  <c r="W100" i="44"/>
  <c r="AE100" i="44"/>
  <c r="B131" i="44"/>
  <c r="AO99" i="44"/>
  <c r="I100" i="44"/>
  <c r="Q100" i="44"/>
  <c r="Y100" i="44"/>
  <c r="AG100" i="44"/>
  <c r="B115" i="44"/>
  <c r="C100" i="44"/>
  <c r="K100" i="44"/>
  <c r="S100" i="44"/>
  <c r="AA100" i="44"/>
  <c r="AI100" i="44"/>
  <c r="Z100" i="44"/>
  <c r="AF100" i="44"/>
  <c r="AH100" i="44"/>
  <c r="H100" i="44"/>
  <c r="J100" i="44"/>
  <c r="P100" i="44"/>
  <c r="R100" i="44"/>
  <c r="X100" i="44"/>
  <c r="A146" i="44"/>
  <c r="A194" i="43"/>
  <c r="A215" i="43" s="1"/>
  <c r="A170" i="43"/>
  <c r="B61" i="44"/>
  <c r="B81" i="44"/>
  <c r="B67" i="43"/>
  <c r="B87" i="43"/>
  <c r="S67" i="41"/>
  <c r="U67" i="41" s="1"/>
  <c r="A52" i="44"/>
  <c r="A72" i="44"/>
  <c r="O94" i="43"/>
  <c r="AE94" i="43"/>
  <c r="AH94" i="43"/>
  <c r="AO93" i="43"/>
  <c r="I94" i="43"/>
  <c r="L94" i="43"/>
  <c r="Q94" i="43"/>
  <c r="Y94" i="43"/>
  <c r="B179" i="43"/>
  <c r="B203" i="43"/>
  <c r="B222" i="43" s="1"/>
  <c r="J224" i="44"/>
  <c r="V215" i="44" s="1"/>
  <c r="X158" i="44"/>
  <c r="E33" i="43"/>
  <c r="T33" i="43"/>
  <c r="AF33" i="43"/>
  <c r="K33" i="43"/>
  <c r="X33" i="43"/>
  <c r="AH33" i="43"/>
  <c r="Q33" i="43"/>
  <c r="AA33" i="43"/>
  <c r="AK33" i="43"/>
  <c r="C33" i="43"/>
  <c r="R33" i="43"/>
  <c r="AB33" i="43"/>
  <c r="Y33" i="43"/>
  <c r="Z33" i="43"/>
  <c r="B72" i="43"/>
  <c r="D33" i="43"/>
  <c r="AC33" i="43"/>
  <c r="B52" i="43"/>
  <c r="J33" i="43"/>
  <c r="AG33" i="43"/>
  <c r="L33" i="43"/>
  <c r="AI33" i="43"/>
  <c r="M33" i="43"/>
  <c r="AJ33" i="43"/>
  <c r="S33" i="43"/>
  <c r="S48" i="43" s="1"/>
  <c r="U33" i="43"/>
  <c r="AO36" i="44"/>
  <c r="T37" i="44"/>
  <c r="AJ37" i="44"/>
  <c r="U37" i="44"/>
  <c r="AK37" i="44"/>
  <c r="W37" i="44"/>
  <c r="X37" i="44"/>
  <c r="G37" i="44"/>
  <c r="AB37" i="44"/>
  <c r="H37" i="44"/>
  <c r="AC37" i="44"/>
  <c r="P37" i="44"/>
  <c r="AF37" i="44"/>
  <c r="O37" i="44"/>
  <c r="AE37" i="44"/>
  <c r="F96" i="44"/>
  <c r="N96" i="44"/>
  <c r="V96" i="44"/>
  <c r="AD96" i="44"/>
  <c r="AL96" i="44"/>
  <c r="G96" i="44"/>
  <c r="O96" i="44"/>
  <c r="W96" i="44"/>
  <c r="AE96" i="44"/>
  <c r="H96" i="44"/>
  <c r="P96" i="44"/>
  <c r="X96" i="44"/>
  <c r="AF96" i="44"/>
  <c r="B127" i="44"/>
  <c r="AO95" i="44"/>
  <c r="I96" i="44"/>
  <c r="Q96" i="44"/>
  <c r="Y96" i="44"/>
  <c r="AG96" i="44"/>
  <c r="C96" i="44"/>
  <c r="K96" i="44"/>
  <c r="S96" i="44"/>
  <c r="AA96" i="44"/>
  <c r="AI96" i="44"/>
  <c r="B111" i="44"/>
  <c r="E96" i="44"/>
  <c r="M96" i="44"/>
  <c r="U96" i="44"/>
  <c r="AC96" i="44"/>
  <c r="AK96" i="44"/>
  <c r="R96" i="44"/>
  <c r="T96" i="44"/>
  <c r="Z96" i="44"/>
  <c r="AB96" i="44"/>
  <c r="AH96" i="44"/>
  <c r="D96" i="44"/>
  <c r="AJ96" i="44"/>
  <c r="J96" i="44"/>
  <c r="L96" i="44"/>
  <c r="B189" i="42"/>
  <c r="B212" i="42" s="1"/>
  <c r="B165" i="42"/>
  <c r="B126" i="42"/>
  <c r="B110" i="42"/>
  <c r="A42" i="43"/>
  <c r="A82" i="42"/>
  <c r="O76" i="42" s="1"/>
  <c r="A62" i="42"/>
  <c r="B128" i="44"/>
  <c r="B112" i="44"/>
  <c r="F35" i="42"/>
  <c r="C35" i="42"/>
  <c r="M35" i="42"/>
  <c r="X35" i="42"/>
  <c r="AI35" i="42"/>
  <c r="B54" i="42"/>
  <c r="D35" i="42"/>
  <c r="O35" i="42"/>
  <c r="Z35" i="42"/>
  <c r="AJ35" i="42"/>
  <c r="E35" i="42"/>
  <c r="P35" i="42"/>
  <c r="AA35" i="42"/>
  <c r="AK35" i="42"/>
  <c r="G35" i="42"/>
  <c r="R35" i="42"/>
  <c r="AB35" i="42"/>
  <c r="H35" i="42"/>
  <c r="S35" i="42"/>
  <c r="AC35" i="42"/>
  <c r="B74" i="42"/>
  <c r="J35" i="42"/>
  <c r="T35" i="42"/>
  <c r="AE35" i="42"/>
  <c r="K35" i="42"/>
  <c r="U35" i="42"/>
  <c r="AF35" i="42"/>
  <c r="L35" i="42"/>
  <c r="W35" i="42"/>
  <c r="AH35" i="42"/>
  <c r="O43" i="42"/>
  <c r="H43" i="42"/>
  <c r="Y43" i="42"/>
  <c r="I43" i="42"/>
  <c r="AB43" i="42"/>
  <c r="L43" i="42"/>
  <c r="AF43" i="42"/>
  <c r="P43" i="42"/>
  <c r="AG43" i="42"/>
  <c r="AO42" i="42"/>
  <c r="Q43" i="42"/>
  <c r="AJ43" i="42"/>
  <c r="T43" i="42"/>
  <c r="D43" i="42"/>
  <c r="W43" i="42"/>
  <c r="G43" i="42"/>
  <c r="X43" i="42"/>
  <c r="R47" i="42"/>
  <c r="AD47" i="42"/>
  <c r="AE47" i="42"/>
  <c r="E47" i="42"/>
  <c r="AK47" i="42"/>
  <c r="J47" i="42"/>
  <c r="N47" i="42"/>
  <c r="O47" i="42"/>
  <c r="U47" i="42"/>
  <c r="B86" i="42"/>
  <c r="Z47" i="42"/>
  <c r="B132" i="43"/>
  <c r="B116" i="43"/>
  <c r="B193" i="42"/>
  <c r="B214" i="42" s="1"/>
  <c r="B169" i="42"/>
  <c r="B171" i="42"/>
  <c r="B195" i="42"/>
  <c r="B216" i="42" s="1"/>
  <c r="B63" i="42"/>
  <c r="B83" i="42"/>
  <c r="B87" i="44"/>
  <c r="B67" i="44"/>
  <c r="B181" i="42"/>
  <c r="B205" i="42"/>
  <c r="D39" i="42"/>
  <c r="F39" i="42"/>
  <c r="O39" i="42"/>
  <c r="X39" i="42"/>
  <c r="AF39" i="42"/>
  <c r="G39" i="42"/>
  <c r="P39" i="42"/>
  <c r="Y39" i="42"/>
  <c r="AG39" i="42"/>
  <c r="B78" i="42"/>
  <c r="H39" i="42"/>
  <c r="Q39" i="42"/>
  <c r="Z39" i="42"/>
  <c r="AH39" i="42"/>
  <c r="I39" i="42"/>
  <c r="R39" i="42"/>
  <c r="AA39" i="42"/>
  <c r="AI39" i="42"/>
  <c r="AO38" i="42"/>
  <c r="J39" i="42"/>
  <c r="S39" i="42"/>
  <c r="AB39" i="42"/>
  <c r="AJ39" i="42"/>
  <c r="K39" i="42"/>
  <c r="U39" i="42"/>
  <c r="AC39" i="42"/>
  <c r="AK39" i="42"/>
  <c r="C39" i="42"/>
  <c r="M39" i="42"/>
  <c r="V39" i="42"/>
  <c r="AD39" i="42"/>
  <c r="AL39" i="42"/>
  <c r="E39" i="42"/>
  <c r="N39" i="42"/>
  <c r="W39" i="42"/>
  <c r="AE39" i="42"/>
  <c r="B58" i="42"/>
  <c r="G94" i="44"/>
  <c r="O94" i="44"/>
  <c r="W94" i="44"/>
  <c r="AE94" i="44"/>
  <c r="B125" i="44"/>
  <c r="H94" i="44"/>
  <c r="P94" i="44"/>
  <c r="X94" i="44"/>
  <c r="AF94" i="44"/>
  <c r="B109" i="44"/>
  <c r="AO93" i="44"/>
  <c r="I94" i="44"/>
  <c r="Q94" i="44"/>
  <c r="Y94" i="44"/>
  <c r="AG94" i="44"/>
  <c r="J94" i="44"/>
  <c r="R94" i="44"/>
  <c r="Z94" i="44"/>
  <c r="AH94" i="44"/>
  <c r="C94" i="44"/>
  <c r="K94" i="44"/>
  <c r="S94" i="44"/>
  <c r="D94" i="44"/>
  <c r="L94" i="44"/>
  <c r="T94" i="44"/>
  <c r="AB94" i="44"/>
  <c r="AJ94" i="44"/>
  <c r="F94" i="44"/>
  <c r="N94" i="44"/>
  <c r="V94" i="44"/>
  <c r="AD94" i="44"/>
  <c r="AL94" i="44"/>
  <c r="AC94" i="44"/>
  <c r="AI94" i="44"/>
  <c r="AK94" i="44"/>
  <c r="E94" i="44"/>
  <c r="M94" i="44"/>
  <c r="U94" i="44"/>
  <c r="AA94" i="44"/>
  <c r="AB33" i="42"/>
  <c r="J33" i="44"/>
  <c r="R33" i="44"/>
  <c r="Z33" i="44"/>
  <c r="AH33" i="44"/>
  <c r="C33" i="44"/>
  <c r="K33" i="44"/>
  <c r="S33" i="44"/>
  <c r="AA33" i="44"/>
  <c r="AI33" i="44"/>
  <c r="D33" i="44"/>
  <c r="L33" i="44"/>
  <c r="T33" i="44"/>
  <c r="AB33" i="44"/>
  <c r="AJ33" i="44"/>
  <c r="B52" i="44"/>
  <c r="E33" i="44"/>
  <c r="M33" i="44"/>
  <c r="U33" i="44"/>
  <c r="AC33" i="44"/>
  <c r="AK33" i="44"/>
  <c r="F33" i="44"/>
  <c r="N33" i="44"/>
  <c r="V33" i="44"/>
  <c r="AD33" i="44"/>
  <c r="AL33" i="44"/>
  <c r="G33" i="44"/>
  <c r="O33" i="44"/>
  <c r="W33" i="44"/>
  <c r="AE33" i="44"/>
  <c r="I33" i="44"/>
  <c r="Q33" i="44"/>
  <c r="Y33" i="44"/>
  <c r="AG33" i="44"/>
  <c r="P33" i="44"/>
  <c r="X33" i="44"/>
  <c r="B72" i="44"/>
  <c r="AF33" i="44"/>
  <c r="H33" i="44"/>
  <c r="A5" i="43"/>
  <c r="A15" i="42"/>
  <c r="A25" i="42" s="1"/>
  <c r="O23" i="42" s="1"/>
  <c r="B165" i="43"/>
  <c r="B189" i="43"/>
  <c r="B212" i="43" s="1"/>
  <c r="B57" i="42"/>
  <c r="B77" i="42"/>
  <c r="B126" i="43"/>
  <c r="B110" i="43"/>
  <c r="B134" i="44"/>
  <c r="B118" i="44"/>
  <c r="J98" i="42"/>
  <c r="R98" i="42"/>
  <c r="Z98" i="42"/>
  <c r="AH98" i="42"/>
  <c r="B113" i="42"/>
  <c r="C98" i="42"/>
  <c r="K98" i="42"/>
  <c r="S98" i="42"/>
  <c r="AA98" i="42"/>
  <c r="AI98" i="42"/>
  <c r="D98" i="42"/>
  <c r="L98" i="42"/>
  <c r="T98" i="42"/>
  <c r="AB98" i="42"/>
  <c r="AJ98" i="42"/>
  <c r="E98" i="42"/>
  <c r="M98" i="42"/>
  <c r="U98" i="42"/>
  <c r="AC98" i="42"/>
  <c r="AK98" i="42"/>
  <c r="B129" i="42"/>
  <c r="F98" i="42"/>
  <c r="N98" i="42"/>
  <c r="V98" i="42"/>
  <c r="AD98" i="42"/>
  <c r="AL98" i="42"/>
  <c r="G98" i="42"/>
  <c r="O98" i="42"/>
  <c r="W98" i="42"/>
  <c r="AE98" i="42"/>
  <c r="H98" i="42"/>
  <c r="P98" i="42"/>
  <c r="X98" i="42"/>
  <c r="AF98" i="42"/>
  <c r="AO97" i="42"/>
  <c r="I98" i="42"/>
  <c r="Q98" i="42"/>
  <c r="Y98" i="42"/>
  <c r="AG98" i="42"/>
  <c r="Q35" i="43"/>
  <c r="Y35" i="43"/>
  <c r="AJ35" i="43"/>
  <c r="O35" i="43"/>
  <c r="T35" i="43"/>
  <c r="AO34" i="43"/>
  <c r="D35" i="43"/>
  <c r="J35" i="43"/>
  <c r="X35" i="43"/>
  <c r="AE35" i="43"/>
  <c r="AO42" i="43"/>
  <c r="C43" i="43"/>
  <c r="M43" i="43"/>
  <c r="W43" i="43"/>
  <c r="AI43" i="43"/>
  <c r="E43" i="43"/>
  <c r="O43" i="43"/>
  <c r="AA43" i="43"/>
  <c r="AK43" i="43"/>
  <c r="H43" i="43"/>
  <c r="T43" i="43"/>
  <c r="AD43" i="43"/>
  <c r="K43" i="43"/>
  <c r="U43" i="43"/>
  <c r="AE43" i="43"/>
  <c r="D43" i="43"/>
  <c r="X43" i="43"/>
  <c r="F43" i="43"/>
  <c r="AB43" i="43"/>
  <c r="G43" i="43"/>
  <c r="AC43" i="43"/>
  <c r="B82" i="43"/>
  <c r="L43" i="43"/>
  <c r="AF43" i="43"/>
  <c r="N43" i="43"/>
  <c r="AJ43" i="43"/>
  <c r="P43" i="43"/>
  <c r="AL43" i="43"/>
  <c r="S43" i="43"/>
  <c r="B62" i="43"/>
  <c r="V43" i="43"/>
  <c r="D47" i="43"/>
  <c r="L47" i="43"/>
  <c r="T47" i="43"/>
  <c r="F47" i="43"/>
  <c r="J47" i="43"/>
  <c r="E47" i="43"/>
  <c r="P47" i="43"/>
  <c r="Y47" i="43"/>
  <c r="AG47" i="43"/>
  <c r="G47" i="43"/>
  <c r="Q47" i="43"/>
  <c r="Z47" i="43"/>
  <c r="AH47" i="43"/>
  <c r="H47" i="43"/>
  <c r="R47" i="43"/>
  <c r="AA47" i="43"/>
  <c r="AI47" i="43"/>
  <c r="I47" i="43"/>
  <c r="S47" i="43"/>
  <c r="AB47" i="43"/>
  <c r="AJ47" i="43"/>
  <c r="K47" i="43"/>
  <c r="U47" i="43"/>
  <c r="AC47" i="43"/>
  <c r="AK47" i="43"/>
  <c r="M47" i="43"/>
  <c r="V47" i="43"/>
  <c r="AD47" i="43"/>
  <c r="AL47" i="43"/>
  <c r="B66" i="43"/>
  <c r="AO46" i="43"/>
  <c r="N47" i="43"/>
  <c r="W47" i="43"/>
  <c r="AE47" i="43"/>
  <c r="B86" i="43"/>
  <c r="C47" i="43"/>
  <c r="O47" i="43"/>
  <c r="X47" i="43"/>
  <c r="AF47" i="43"/>
  <c r="B169" i="43"/>
  <c r="B193" i="43"/>
  <c r="B214" i="43" s="1"/>
  <c r="B63" i="43"/>
  <c r="B83" i="43"/>
  <c r="B181" i="43"/>
  <c r="B205" i="43"/>
  <c r="B177" i="44"/>
  <c r="B201" i="44"/>
  <c r="B220" i="44" s="1"/>
  <c r="T70" i="41"/>
  <c r="U70" i="41" s="1"/>
  <c r="O39" i="43"/>
  <c r="J39" i="43"/>
  <c r="X39" i="43"/>
  <c r="N39" i="43"/>
  <c r="AD39" i="43"/>
  <c r="F39" i="43"/>
  <c r="U39" i="43"/>
  <c r="AH39" i="43"/>
  <c r="G39" i="43"/>
  <c r="V39" i="43"/>
  <c r="AK39" i="43"/>
  <c r="R39" i="43"/>
  <c r="W39" i="43"/>
  <c r="B58" i="43"/>
  <c r="Z39" i="43"/>
  <c r="AE39" i="43"/>
  <c r="E39" i="43"/>
  <c r="AF39" i="43"/>
  <c r="H39" i="43"/>
  <c r="AL39" i="43"/>
  <c r="M39" i="43"/>
  <c r="P39" i="43"/>
  <c r="S34" i="40"/>
  <c r="S40" i="40"/>
  <c r="B79" i="42"/>
  <c r="B59" i="42"/>
  <c r="B165" i="44"/>
  <c r="B189" i="44"/>
  <c r="B212" i="44" s="1"/>
  <c r="B57" i="43"/>
  <c r="B77" i="43"/>
  <c r="B126" i="44"/>
  <c r="B110" i="44"/>
  <c r="B201" i="42"/>
  <c r="B220" i="42" s="1"/>
  <c r="B177" i="42"/>
  <c r="A64" i="42"/>
  <c r="A44" i="43"/>
  <c r="O98" i="43"/>
  <c r="M98" i="43"/>
  <c r="P98" i="43"/>
  <c r="U98" i="43"/>
  <c r="B113" i="43"/>
  <c r="Y98" i="43"/>
  <c r="AO97" i="43"/>
  <c r="AC98" i="43"/>
  <c r="AG98" i="43"/>
  <c r="E98" i="43"/>
  <c r="AK98" i="43"/>
  <c r="B129" i="43"/>
  <c r="G98" i="43"/>
  <c r="A166" i="44"/>
  <c r="A190" i="44"/>
  <c r="J35" i="44"/>
  <c r="AO34" i="44"/>
  <c r="N35" i="44"/>
  <c r="Y35" i="44"/>
  <c r="O35" i="44"/>
  <c r="AC35" i="44"/>
  <c r="E35" i="44"/>
  <c r="P35" i="44"/>
  <c r="AD35" i="44"/>
  <c r="F35" i="44"/>
  <c r="Q35" i="44"/>
  <c r="AE35" i="44"/>
  <c r="G35" i="44"/>
  <c r="U35" i="44"/>
  <c r="AF35" i="44"/>
  <c r="H35" i="44"/>
  <c r="V35" i="44"/>
  <c r="AG35" i="44"/>
  <c r="M35" i="44"/>
  <c r="X35" i="44"/>
  <c r="AL35" i="44"/>
  <c r="B74" i="44"/>
  <c r="B54" i="44"/>
  <c r="I35" i="44"/>
  <c r="W35" i="44"/>
  <c r="AK35" i="44"/>
  <c r="J43" i="44"/>
  <c r="R43" i="44"/>
  <c r="Z43" i="44"/>
  <c r="AH43" i="44"/>
  <c r="C43" i="44"/>
  <c r="K43" i="44"/>
  <c r="S43" i="44"/>
  <c r="AA43" i="44"/>
  <c r="AI43" i="44"/>
  <c r="B82" i="44"/>
  <c r="D43" i="44"/>
  <c r="L43" i="44"/>
  <c r="T43" i="44"/>
  <c r="AB43" i="44"/>
  <c r="AJ43" i="44"/>
  <c r="E43" i="44"/>
  <c r="M43" i="44"/>
  <c r="U43" i="44"/>
  <c r="AC43" i="44"/>
  <c r="AK43" i="44"/>
  <c r="F43" i="44"/>
  <c r="N43" i="44"/>
  <c r="V43" i="44"/>
  <c r="AD43" i="44"/>
  <c r="AL43" i="44"/>
  <c r="G43" i="44"/>
  <c r="O43" i="44"/>
  <c r="W43" i="44"/>
  <c r="AE43" i="44"/>
  <c r="B62" i="44"/>
  <c r="AO42" i="44"/>
  <c r="I43" i="44"/>
  <c r="Q43" i="44"/>
  <c r="Y43" i="44"/>
  <c r="AG43" i="44"/>
  <c r="H43" i="44"/>
  <c r="P43" i="44"/>
  <c r="X43" i="44"/>
  <c r="AF43" i="44"/>
  <c r="H47" i="44"/>
  <c r="P47" i="44"/>
  <c r="X47" i="44"/>
  <c r="AF47" i="44"/>
  <c r="AO46" i="44"/>
  <c r="I47" i="44"/>
  <c r="Q47" i="44"/>
  <c r="Y47" i="44"/>
  <c r="AG47" i="44"/>
  <c r="J47" i="44"/>
  <c r="R47" i="44"/>
  <c r="Z47" i="44"/>
  <c r="AH47" i="44"/>
  <c r="C47" i="44"/>
  <c r="K47" i="44"/>
  <c r="S47" i="44"/>
  <c r="AA47" i="44"/>
  <c r="AI47" i="44"/>
  <c r="D47" i="44"/>
  <c r="L47" i="44"/>
  <c r="T47" i="44"/>
  <c r="AB47" i="44"/>
  <c r="AJ47" i="44"/>
  <c r="B66" i="44"/>
  <c r="E47" i="44"/>
  <c r="M47" i="44"/>
  <c r="U47" i="44"/>
  <c r="AC47" i="44"/>
  <c r="AK47" i="44"/>
  <c r="G47" i="44"/>
  <c r="O47" i="44"/>
  <c r="W47" i="44"/>
  <c r="AE47" i="44"/>
  <c r="AL47" i="44"/>
  <c r="B86" i="44"/>
  <c r="F47" i="44"/>
  <c r="N47" i="44"/>
  <c r="V47" i="44"/>
  <c r="AD47" i="44"/>
  <c r="B169" i="44"/>
  <c r="B193" i="44"/>
  <c r="B214" i="44" s="1"/>
  <c r="B171" i="44"/>
  <c r="B195" i="44"/>
  <c r="B216" i="44" s="1"/>
  <c r="B83" i="44"/>
  <c r="B63" i="44"/>
  <c r="B181" i="44"/>
  <c r="B205" i="44"/>
  <c r="A123" i="44"/>
  <c r="A107" i="44"/>
  <c r="A178" i="42"/>
  <c r="A154" i="43"/>
  <c r="A202" i="42"/>
  <c r="A221" i="42" s="1"/>
  <c r="O214" i="42" s="1"/>
  <c r="D39" i="44"/>
  <c r="L39" i="44"/>
  <c r="T39" i="44"/>
  <c r="AB39" i="44"/>
  <c r="AJ39" i="44"/>
  <c r="E39" i="44"/>
  <c r="M39" i="44"/>
  <c r="U39" i="44"/>
  <c r="AC39" i="44"/>
  <c r="AK39" i="44"/>
  <c r="F39" i="44"/>
  <c r="N39" i="44"/>
  <c r="V39" i="44"/>
  <c r="AD39" i="44"/>
  <c r="AL39" i="44"/>
  <c r="G39" i="44"/>
  <c r="O39" i="44"/>
  <c r="W39" i="44"/>
  <c r="AE39" i="44"/>
  <c r="B78" i="44"/>
  <c r="H39" i="44"/>
  <c r="P39" i="44"/>
  <c r="X39" i="44"/>
  <c r="AF39" i="44"/>
  <c r="AO38" i="44"/>
  <c r="I39" i="44"/>
  <c r="Q39" i="44"/>
  <c r="Y39" i="44"/>
  <c r="AG39" i="44"/>
  <c r="B58" i="44"/>
  <c r="C39" i="44"/>
  <c r="K39" i="44"/>
  <c r="S39" i="44"/>
  <c r="AA39" i="44"/>
  <c r="AI39" i="44"/>
  <c r="AH39" i="44"/>
  <c r="J39" i="44"/>
  <c r="R39" i="44"/>
  <c r="Z39" i="44"/>
  <c r="S58" i="40"/>
  <c r="C224" i="44"/>
  <c r="O215" i="44" s="1"/>
  <c r="G33" i="42"/>
  <c r="B73" i="42"/>
  <c r="B53" i="42"/>
  <c r="A133" i="43"/>
  <c r="N127" i="43" s="1"/>
  <c r="A101" i="44"/>
  <c r="A7" i="43"/>
  <c r="A17" i="42"/>
  <c r="A27" i="42" s="1"/>
  <c r="O24" i="42" s="1"/>
  <c r="B59" i="43"/>
  <c r="B79" i="43"/>
  <c r="J102" i="42"/>
  <c r="C102" i="42"/>
  <c r="P102" i="42"/>
  <c r="AD102" i="42"/>
  <c r="F102" i="42"/>
  <c r="Q102" i="42"/>
  <c r="AE102" i="42"/>
  <c r="G102" i="42"/>
  <c r="S102" i="42"/>
  <c r="AF102" i="42"/>
  <c r="H102" i="42"/>
  <c r="V102" i="42"/>
  <c r="AG102" i="42"/>
  <c r="B133" i="42"/>
  <c r="I102" i="42"/>
  <c r="W102" i="42"/>
  <c r="AI102" i="42"/>
  <c r="K102" i="42"/>
  <c r="X102" i="42"/>
  <c r="AL102" i="42"/>
  <c r="B117" i="42"/>
  <c r="AO101" i="42"/>
  <c r="N102" i="42"/>
  <c r="Y102" i="42"/>
  <c r="O102" i="42"/>
  <c r="AA102" i="42"/>
  <c r="B57" i="44"/>
  <c r="B77" i="44"/>
  <c r="A97" i="43"/>
  <c r="A129" i="42"/>
  <c r="O125" i="42" s="1"/>
  <c r="A113" i="42"/>
  <c r="A34" i="44"/>
  <c r="A54" i="43"/>
  <c r="A74" i="43"/>
  <c r="N72" i="43" s="1"/>
  <c r="E98" i="44"/>
  <c r="M98" i="44"/>
  <c r="U98" i="44"/>
  <c r="AC98" i="44"/>
  <c r="AK98" i="44"/>
  <c r="F98" i="44"/>
  <c r="N98" i="44"/>
  <c r="V98" i="44"/>
  <c r="AD98" i="44"/>
  <c r="AL98" i="44"/>
  <c r="B113" i="44"/>
  <c r="G98" i="44"/>
  <c r="O98" i="44"/>
  <c r="W98" i="44"/>
  <c r="AE98" i="44"/>
  <c r="H98" i="44"/>
  <c r="P98" i="44"/>
  <c r="X98" i="44"/>
  <c r="AF98" i="44"/>
  <c r="J98" i="44"/>
  <c r="R98" i="44"/>
  <c r="Z98" i="44"/>
  <c r="AH98" i="44"/>
  <c r="D98" i="44"/>
  <c r="L98" i="44"/>
  <c r="T98" i="44"/>
  <c r="AB98" i="44"/>
  <c r="AJ98" i="44"/>
  <c r="C98" i="44"/>
  <c r="AI98" i="44"/>
  <c r="I98" i="44"/>
  <c r="K98" i="44"/>
  <c r="Q98" i="44"/>
  <c r="S98" i="44"/>
  <c r="B129" i="44"/>
  <c r="Y98" i="44"/>
  <c r="AA98" i="44"/>
  <c r="AO97" i="44"/>
  <c r="AG98" i="44"/>
  <c r="B65" i="42"/>
  <c r="B85" i="42"/>
  <c r="B203" i="42"/>
  <c r="B222" i="42" s="1"/>
  <c r="B179" i="42"/>
  <c r="B55" i="42"/>
  <c r="B75" i="42"/>
  <c r="A93" i="43"/>
  <c r="A109" i="42"/>
  <c r="A125" i="42"/>
  <c r="O123" i="42" s="1"/>
  <c r="W92" i="42"/>
  <c r="L92" i="42"/>
  <c r="AD103" i="42" s="1"/>
  <c r="P92" i="42"/>
  <c r="AH92" i="42"/>
  <c r="AE103" i="42" s="1"/>
  <c r="AK92" i="42"/>
  <c r="Q36" i="40"/>
  <c r="R26" i="40"/>
  <c r="S56" i="40"/>
  <c r="K224" i="44"/>
  <c r="W215" i="44" s="1"/>
  <c r="R33" i="42"/>
  <c r="R48" i="42" s="1"/>
  <c r="O33" i="42"/>
  <c r="B73" i="43"/>
  <c r="B53" i="43"/>
  <c r="B124" i="44"/>
  <c r="B108" i="44"/>
  <c r="B59" i="44"/>
  <c r="B79" i="44"/>
  <c r="F102" i="43"/>
  <c r="N102" i="43"/>
  <c r="V102" i="43"/>
  <c r="AD102" i="43"/>
  <c r="AL102" i="43"/>
  <c r="B117" i="43"/>
  <c r="G102" i="43"/>
  <c r="O102" i="43"/>
  <c r="W102" i="43"/>
  <c r="AE102" i="43"/>
  <c r="H102" i="43"/>
  <c r="P102" i="43"/>
  <c r="X102" i="43"/>
  <c r="AF102" i="43"/>
  <c r="AO101" i="43"/>
  <c r="I102" i="43"/>
  <c r="Q102" i="43"/>
  <c r="Y102" i="43"/>
  <c r="AG102" i="43"/>
  <c r="B133" i="43"/>
  <c r="J102" i="43"/>
  <c r="R102" i="43"/>
  <c r="Z102" i="43"/>
  <c r="AH102" i="43"/>
  <c r="C102" i="43"/>
  <c r="K102" i="43"/>
  <c r="S102" i="43"/>
  <c r="AA102" i="43"/>
  <c r="AI102" i="43"/>
  <c r="D102" i="43"/>
  <c r="L102" i="43"/>
  <c r="T102" i="43"/>
  <c r="AB102" i="43"/>
  <c r="AJ102" i="43"/>
  <c r="E102" i="43"/>
  <c r="M102" i="43"/>
  <c r="U102" i="43"/>
  <c r="AC102" i="43"/>
  <c r="AK102" i="43"/>
  <c r="B197" i="43"/>
  <c r="B218" i="43" s="1"/>
  <c r="B173" i="43"/>
  <c r="S37" i="40"/>
  <c r="A46" i="44"/>
  <c r="A66" i="43"/>
  <c r="A86" i="43"/>
  <c r="N78" i="43" s="1"/>
  <c r="M37" i="40"/>
  <c r="R37" i="40" s="1"/>
  <c r="I8" i="40"/>
  <c r="J8" i="40" s="1"/>
  <c r="P45" i="42"/>
  <c r="W45" i="42"/>
  <c r="B84" i="42"/>
  <c r="F45" i="42"/>
  <c r="X45" i="42"/>
  <c r="B64" i="42"/>
  <c r="G45" i="42"/>
  <c r="AA45" i="42"/>
  <c r="H45" i="42"/>
  <c r="AD45" i="42"/>
  <c r="K45" i="42"/>
  <c r="AE45" i="42"/>
  <c r="N45" i="42"/>
  <c r="AL45" i="42"/>
  <c r="O45" i="42"/>
  <c r="V45" i="42"/>
  <c r="B114" i="42"/>
  <c r="B130" i="42"/>
  <c r="B191" i="42"/>
  <c r="B167" i="42"/>
  <c r="B175" i="42"/>
  <c r="B199" i="42"/>
  <c r="B85" i="43"/>
  <c r="B65" i="43"/>
  <c r="B55" i="43"/>
  <c r="B75" i="43"/>
  <c r="AB92" i="43"/>
  <c r="I92" i="43"/>
  <c r="AA92" i="43"/>
  <c r="K92" i="43"/>
  <c r="AC92" i="43"/>
  <c r="B107" i="43"/>
  <c r="L92" i="43"/>
  <c r="AG92" i="43"/>
  <c r="M92" i="43"/>
  <c r="AH92" i="43"/>
  <c r="Q92" i="43"/>
  <c r="AI92" i="43"/>
  <c r="B123" i="43"/>
  <c r="U92" i="43"/>
  <c r="AJ92" i="43"/>
  <c r="D92" i="43"/>
  <c r="Y92" i="43"/>
  <c r="AK92" i="43"/>
  <c r="E92" i="43"/>
  <c r="Z92" i="43"/>
  <c r="A180" i="43"/>
  <c r="A156" i="44"/>
  <c r="A204" i="43"/>
  <c r="AH158" i="44"/>
  <c r="T158" i="44"/>
  <c r="H158" i="44"/>
  <c r="AB158" i="44"/>
  <c r="AG158" i="44"/>
  <c r="Q158" i="44"/>
  <c r="U158" i="44"/>
  <c r="G158" i="44"/>
  <c r="AJ158" i="44"/>
  <c r="AF158" i="44"/>
  <c r="F158" i="44"/>
  <c r="Z158" i="44"/>
  <c r="AL158" i="44"/>
  <c r="AI158" i="44"/>
  <c r="AD158" i="44"/>
  <c r="K158" i="44"/>
  <c r="AA158" i="44"/>
  <c r="D158" i="44"/>
  <c r="E224" i="44"/>
  <c r="Q215" i="44" s="1"/>
  <c r="V158" i="44"/>
  <c r="C158" i="44"/>
  <c r="Y158" i="44"/>
  <c r="I158" i="44"/>
  <c r="N158" i="44"/>
  <c r="G224" i="44"/>
  <c r="S215" i="44" s="1"/>
  <c r="S158" i="44"/>
  <c r="AC158" i="44"/>
  <c r="M158" i="44"/>
  <c r="AE158" i="44"/>
  <c r="E158" i="44"/>
  <c r="F224" i="44"/>
  <c r="R215" i="44" s="1"/>
  <c r="H224" i="44"/>
  <c r="T215" i="44" s="1"/>
  <c r="I224" i="44"/>
  <c r="U215" i="44" s="1"/>
  <c r="W158" i="44"/>
  <c r="J158" i="44"/>
  <c r="L158" i="44"/>
  <c r="L224" i="44"/>
  <c r="X215" i="44" s="1"/>
  <c r="P158" i="44"/>
  <c r="AN9" i="43"/>
  <c r="B224" i="42"/>
  <c r="E224" i="42"/>
  <c r="R215" i="42" s="1"/>
  <c r="G224" i="42"/>
  <c r="T215" i="42" s="1"/>
  <c r="F224" i="42"/>
  <c r="S215" i="42" s="1"/>
  <c r="J224" i="42"/>
  <c r="W215" i="42" s="1"/>
  <c r="L224" i="42"/>
  <c r="Y215" i="42" s="1"/>
  <c r="C224" i="42"/>
  <c r="P215" i="42" s="1"/>
  <c r="H224" i="42"/>
  <c r="U215" i="42" s="1"/>
  <c r="D224" i="42"/>
  <c r="Q215" i="42" s="1"/>
  <c r="K224" i="42"/>
  <c r="X215" i="42" s="1"/>
  <c r="I224" i="42"/>
  <c r="V215" i="42" s="1"/>
  <c r="R103" i="42"/>
  <c r="J103" i="42"/>
  <c r="J48" i="42"/>
  <c r="AN9" i="42"/>
  <c r="AH48" i="42"/>
  <c r="W103" i="42"/>
  <c r="O48" i="42"/>
  <c r="U48" i="42"/>
  <c r="D103" i="42"/>
  <c r="G103" i="42"/>
  <c r="AL48" i="42"/>
  <c r="K103" i="42"/>
  <c r="M48" i="42"/>
  <c r="D48" i="42"/>
  <c r="L103" i="42"/>
  <c r="AB48" i="42"/>
  <c r="V103" i="42"/>
  <c r="AK48" i="42"/>
  <c r="Y103" i="42"/>
  <c r="AF103" i="42"/>
  <c r="AA103" i="42"/>
  <c r="AC103" i="42"/>
  <c r="AK103" i="42"/>
  <c r="L48" i="42"/>
  <c r="T69" i="41"/>
  <c r="U69" i="41" s="1"/>
  <c r="R62" i="41"/>
  <c r="Q73" i="41" s="1"/>
  <c r="K61" i="41"/>
  <c r="K73" i="41" s="1"/>
  <c r="S62" i="41"/>
  <c r="R73" i="41" s="1"/>
  <c r="L62" i="41"/>
  <c r="M62" i="41"/>
  <c r="L73" i="41" s="1"/>
  <c r="N62" i="41"/>
  <c r="M73" i="41" s="1"/>
  <c r="O62" i="41"/>
  <c r="N73" i="41" s="1"/>
  <c r="P62" i="41"/>
  <c r="O73" i="41" s="1"/>
  <c r="Q62" i="41"/>
  <c r="P73" i="41" s="1"/>
  <c r="I5" i="40"/>
  <c r="J5" i="40" s="1"/>
  <c r="M36" i="40"/>
  <c r="R36" i="40" s="1"/>
  <c r="S36" i="40" s="1"/>
  <c r="S26" i="40"/>
  <c r="Q27" i="40"/>
  <c r="Q57" i="40"/>
  <c r="S57" i="40" s="1"/>
  <c r="I4" i="40"/>
  <c r="J4" i="40" s="1"/>
  <c r="S90" i="40"/>
  <c r="AB103" i="44" l="1"/>
  <c r="P48" i="44"/>
  <c r="F48" i="42"/>
  <c r="N48" i="42"/>
  <c r="AI48" i="42"/>
  <c r="W48" i="42"/>
  <c r="Q48" i="42"/>
  <c r="T48" i="42"/>
  <c r="Q103" i="42"/>
  <c r="M103" i="42"/>
  <c r="AH103" i="42"/>
  <c r="AB103" i="42"/>
  <c r="C48" i="42"/>
  <c r="Z103" i="42"/>
  <c r="A66" i="44"/>
  <c r="A86" i="44"/>
  <c r="N78" i="44" s="1"/>
  <c r="A93" i="44"/>
  <c r="A125" i="43"/>
  <c r="N123" i="43" s="1"/>
  <c r="A109" i="43"/>
  <c r="A54" i="44"/>
  <c r="A74" i="44"/>
  <c r="N72" i="44" s="1"/>
  <c r="AK48" i="44"/>
  <c r="T48" i="44"/>
  <c r="AH48" i="44"/>
  <c r="J48" i="43"/>
  <c r="R48" i="43"/>
  <c r="AF48" i="43"/>
  <c r="A170" i="44"/>
  <c r="A194" i="44"/>
  <c r="A36" i="44"/>
  <c r="A56" i="43"/>
  <c r="A76" i="43"/>
  <c r="N73" i="43" s="1"/>
  <c r="AL103" i="44"/>
  <c r="AA103" i="44"/>
  <c r="Y103" i="44"/>
  <c r="AF103" i="44"/>
  <c r="A152" i="44"/>
  <c r="A176" i="43"/>
  <c r="A200" i="43"/>
  <c r="A219" i="43" s="1"/>
  <c r="X48" i="44"/>
  <c r="O48" i="44"/>
  <c r="AC48" i="44"/>
  <c r="L48" i="44"/>
  <c r="Z48" i="44"/>
  <c r="U48" i="43"/>
  <c r="Z48" i="43"/>
  <c r="O48" i="43"/>
  <c r="AD48" i="43"/>
  <c r="AL48" i="43"/>
  <c r="I48" i="43"/>
  <c r="H48" i="43"/>
  <c r="C48" i="43"/>
  <c r="F48" i="43"/>
  <c r="P48" i="43"/>
  <c r="V48" i="43"/>
  <c r="N48" i="43"/>
  <c r="AE48" i="43"/>
  <c r="T48" i="43"/>
  <c r="A78" i="43"/>
  <c r="N74" i="43" s="1"/>
  <c r="A38" i="44"/>
  <c r="A58" i="43"/>
  <c r="R103" i="44"/>
  <c r="P103" i="44"/>
  <c r="W103" i="44"/>
  <c r="G48" i="43"/>
  <c r="G48" i="44"/>
  <c r="U48" i="44"/>
  <c r="D48" i="44"/>
  <c r="R48" i="44"/>
  <c r="AC48" i="43"/>
  <c r="AK48" i="43"/>
  <c r="E48" i="43"/>
  <c r="O215" i="42"/>
  <c r="A223" i="43"/>
  <c r="S103" i="44"/>
  <c r="I103" i="44"/>
  <c r="G103" i="44"/>
  <c r="N103" i="44"/>
  <c r="A115" i="43"/>
  <c r="A99" i="44"/>
  <c r="A131" i="43"/>
  <c r="N126" i="43" s="1"/>
  <c r="N103" i="42"/>
  <c r="I103" i="42"/>
  <c r="P103" i="42"/>
  <c r="G48" i="42"/>
  <c r="E48" i="42"/>
  <c r="C103" i="42"/>
  <c r="A180" i="44"/>
  <c r="A204" i="44"/>
  <c r="A97" i="44"/>
  <c r="A113" i="43"/>
  <c r="A129" i="43"/>
  <c r="N125" i="43" s="1"/>
  <c r="A27" i="43"/>
  <c r="N24" i="43" s="1"/>
  <c r="A7" i="44"/>
  <c r="A17" i="43"/>
  <c r="A178" i="43"/>
  <c r="A154" i="44"/>
  <c r="A202" i="43"/>
  <c r="A221" i="43" s="1"/>
  <c r="H48" i="42"/>
  <c r="AG48" i="44"/>
  <c r="AL48" i="44"/>
  <c r="M48" i="44"/>
  <c r="AI48" i="44"/>
  <c r="W48" i="44"/>
  <c r="J48" i="44"/>
  <c r="AJ48" i="43"/>
  <c r="D48" i="43"/>
  <c r="AA48" i="43"/>
  <c r="A211" i="44"/>
  <c r="N209" i="44" s="1"/>
  <c r="N209" i="43"/>
  <c r="AD103" i="44"/>
  <c r="AI103" i="44"/>
  <c r="D103" i="44"/>
  <c r="AA48" i="42"/>
  <c r="U103" i="42"/>
  <c r="S48" i="42"/>
  <c r="F103" i="42"/>
  <c r="O103" i="42"/>
  <c r="H103" i="42"/>
  <c r="AD48" i="42"/>
  <c r="Y48" i="42"/>
  <c r="AJ48" i="42"/>
  <c r="A133" i="44"/>
  <c r="N127" i="44" s="1"/>
  <c r="A117" i="44"/>
  <c r="Y48" i="44"/>
  <c r="AD48" i="44"/>
  <c r="E48" i="44"/>
  <c r="AA48" i="44"/>
  <c r="M48" i="43"/>
  <c r="Q48" i="43"/>
  <c r="A188" i="44"/>
  <c r="A164" i="44"/>
  <c r="T103" i="44"/>
  <c r="Z103" i="44"/>
  <c r="AG103" i="44"/>
  <c r="AE103" i="44"/>
  <c r="A138" i="43"/>
  <c r="A162" i="42"/>
  <c r="A186" i="42"/>
  <c r="A209" i="42" s="1"/>
  <c r="P48" i="42"/>
  <c r="AE48" i="42"/>
  <c r="X48" i="42"/>
  <c r="K48" i="42"/>
  <c r="V48" i="42"/>
  <c r="AJ103" i="42"/>
  <c r="AG103" i="42"/>
  <c r="T103" i="42"/>
  <c r="A5" i="44"/>
  <c r="A25" i="43"/>
  <c r="N23" i="43" s="1"/>
  <c r="A15" i="43"/>
  <c r="Q48" i="44"/>
  <c r="V48" i="44"/>
  <c r="S48" i="44"/>
  <c r="AI48" i="43"/>
  <c r="AH48" i="43"/>
  <c r="A148" i="44"/>
  <c r="A172" i="43"/>
  <c r="A196" i="43"/>
  <c r="A217" i="43" s="1"/>
  <c r="W48" i="43"/>
  <c r="K103" i="44"/>
  <c r="Q103" i="44"/>
  <c r="X103" i="44"/>
  <c r="V103" i="44"/>
  <c r="A60" i="43"/>
  <c r="A40" i="44"/>
  <c r="A80" i="43"/>
  <c r="N75" i="43" s="1"/>
  <c r="AF48" i="42"/>
  <c r="AG48" i="42"/>
  <c r="A84" i="43"/>
  <c r="N77" i="43" s="1"/>
  <c r="A44" i="44"/>
  <c r="A64" i="43"/>
  <c r="H48" i="44"/>
  <c r="I48" i="44"/>
  <c r="N48" i="44"/>
  <c r="AJ48" i="44"/>
  <c r="K48" i="44"/>
  <c r="A82" i="43"/>
  <c r="N76" i="43" s="1"/>
  <c r="A42" i="44"/>
  <c r="A62" i="43"/>
  <c r="L48" i="43"/>
  <c r="Y48" i="43"/>
  <c r="X48" i="43"/>
  <c r="H103" i="44"/>
  <c r="O103" i="44"/>
  <c r="L103" i="44"/>
  <c r="I48" i="42"/>
  <c r="Z48" i="42"/>
  <c r="AI103" i="42"/>
  <c r="AC48" i="42"/>
  <c r="X103" i="42"/>
  <c r="E103" i="42"/>
  <c r="AL103" i="42"/>
  <c r="S103" i="42"/>
  <c r="AF48" i="44"/>
  <c r="AE48" i="44"/>
  <c r="F48" i="44"/>
  <c r="AB48" i="44"/>
  <c r="C48" i="44"/>
  <c r="AG48" i="43"/>
  <c r="AB48" i="43"/>
  <c r="K48" i="43"/>
  <c r="N211" i="43"/>
  <c r="A215" i="44"/>
  <c r="N211" i="44" s="1"/>
  <c r="J103" i="44"/>
  <c r="AJ103" i="44"/>
  <c r="AH103" i="44"/>
  <c r="F103" i="44"/>
  <c r="C103" i="44"/>
  <c r="AK103" i="44"/>
  <c r="E103" i="44"/>
  <c r="U103" i="44"/>
  <c r="M103" i="44"/>
  <c r="S73" i="41"/>
  <c r="T73" i="41"/>
  <c r="AN103" i="42" l="1"/>
  <c r="N213" i="43"/>
  <c r="A219" i="44"/>
  <c r="N213" i="44" s="1"/>
  <c r="A217" i="44"/>
  <c r="N212" i="44" s="1"/>
  <c r="N212" i="43"/>
  <c r="A17" i="44"/>
  <c r="A27" i="44"/>
  <c r="N24" i="44" s="1"/>
  <c r="A76" i="44"/>
  <c r="N73" i="44" s="1"/>
  <c r="A56" i="44"/>
  <c r="A60" i="44"/>
  <c r="A80" i="44"/>
  <c r="N75" i="44" s="1"/>
  <c r="A176" i="44"/>
  <c r="A200" i="44"/>
  <c r="A172" i="44"/>
  <c r="A196" i="44"/>
  <c r="A25" i="44"/>
  <c r="N23" i="44" s="1"/>
  <c r="A15" i="44"/>
  <c r="A78" i="44"/>
  <c r="N74" i="44" s="1"/>
  <c r="A58" i="44"/>
  <c r="AN48" i="43"/>
  <c r="A82" i="44"/>
  <c r="N76" i="44" s="1"/>
  <c r="A62" i="44"/>
  <c r="A64" i="44"/>
  <c r="A84" i="44"/>
  <c r="N77" i="44" s="1"/>
  <c r="N214" i="43"/>
  <c r="A221" i="44"/>
  <c r="N214" i="44" s="1"/>
  <c r="A113" i="44"/>
  <c r="A129" i="44"/>
  <c r="N125" i="44" s="1"/>
  <c r="A223" i="44"/>
  <c r="N215" i="44" s="1"/>
  <c r="N215" i="43"/>
  <c r="A138" i="44"/>
  <c r="A162" i="43"/>
  <c r="A186" i="43"/>
  <c r="A209" i="43" s="1"/>
  <c r="A209" i="44" s="1"/>
  <c r="A202" i="44"/>
  <c r="A178" i="44"/>
  <c r="A109" i="44"/>
  <c r="A125" i="44"/>
  <c r="N123" i="44" s="1"/>
  <c r="A131" i="44"/>
  <c r="N126" i="44" s="1"/>
  <c r="A115" i="44"/>
  <c r="U73" i="41"/>
  <c r="A162" i="44" l="1"/>
  <c r="A186" i="44"/>
  <c r="A57" i="19"/>
  <c r="A55" i="19"/>
  <c r="A53" i="19"/>
  <c r="A51" i="19"/>
  <c r="A49" i="19"/>
  <c r="N7" i="27"/>
  <c r="E153" i="38"/>
  <c r="D153" i="38"/>
  <c r="M111" i="14"/>
  <c r="M109" i="14"/>
  <c r="M107" i="14"/>
  <c r="M105" i="14"/>
  <c r="M103" i="14"/>
  <c r="B96" i="38"/>
  <c r="F69" i="25"/>
  <c r="E69" i="25"/>
  <c r="D69" i="25"/>
  <c r="C69" i="25"/>
  <c r="F58" i="25"/>
  <c r="E58" i="25"/>
  <c r="D58" i="25"/>
  <c r="C58" i="25"/>
  <c r="F47" i="25"/>
  <c r="E47" i="25"/>
  <c r="D47" i="25"/>
  <c r="C47" i="25"/>
  <c r="F32" i="25"/>
  <c r="E32" i="25"/>
  <c r="D32" i="25"/>
  <c r="C32" i="25"/>
  <c r="F13" i="25"/>
  <c r="E13" i="25"/>
  <c r="D13" i="25"/>
  <c r="C13" i="25"/>
  <c r="I22" i="23"/>
  <c r="C21" i="23"/>
  <c r="D21" i="23"/>
  <c r="E21" i="23"/>
  <c r="F21" i="23"/>
  <c r="G21" i="23"/>
  <c r="H21" i="23"/>
  <c r="I21" i="23"/>
  <c r="C21" i="21"/>
  <c r="D21" i="21"/>
  <c r="E21" i="21"/>
  <c r="F21" i="21"/>
  <c r="G21" i="21"/>
  <c r="H21" i="21"/>
  <c r="I21" i="21"/>
  <c r="I22" i="21"/>
  <c r="H47" i="19"/>
  <c r="G47" i="19"/>
  <c r="F47" i="19"/>
  <c r="E47" i="19"/>
  <c r="D47" i="19"/>
  <c r="C47" i="19"/>
  <c r="H32" i="19"/>
  <c r="G32" i="19"/>
  <c r="F32" i="19"/>
  <c r="E32" i="19"/>
  <c r="D32" i="19"/>
  <c r="C32" i="19"/>
  <c r="H13" i="19"/>
  <c r="G13" i="19"/>
  <c r="F13" i="19"/>
  <c r="E13" i="19"/>
  <c r="D13" i="19"/>
  <c r="C13" i="19"/>
  <c r="M153" i="38"/>
  <c r="C139" i="38"/>
  <c r="D139" i="38"/>
  <c r="E139" i="38"/>
  <c r="F139" i="38"/>
  <c r="G139" i="38"/>
  <c r="H139" i="38"/>
  <c r="I139" i="38"/>
  <c r="J139" i="38"/>
  <c r="Q139" i="38" s="1"/>
  <c r="K139" i="38"/>
  <c r="L139" i="38"/>
  <c r="M139" i="38"/>
  <c r="N139" i="38"/>
  <c r="O139" i="38"/>
  <c r="C140" i="38"/>
  <c r="D140" i="38"/>
  <c r="E140" i="38"/>
  <c r="F140" i="38"/>
  <c r="G140" i="38"/>
  <c r="H140" i="38"/>
  <c r="I140" i="38"/>
  <c r="J140" i="38"/>
  <c r="K140" i="38"/>
  <c r="L140" i="38"/>
  <c r="M140" i="38"/>
  <c r="N140" i="38"/>
  <c r="O140" i="38"/>
  <c r="C141" i="38"/>
  <c r="D141" i="38"/>
  <c r="E141" i="38"/>
  <c r="F141" i="38"/>
  <c r="G141" i="38"/>
  <c r="H141" i="38"/>
  <c r="I141" i="38"/>
  <c r="J141" i="38"/>
  <c r="K141" i="38"/>
  <c r="L141" i="38"/>
  <c r="M141" i="38"/>
  <c r="N141" i="38"/>
  <c r="O141" i="38"/>
  <c r="C142" i="38"/>
  <c r="D142" i="38"/>
  <c r="E142" i="38"/>
  <c r="F142" i="38"/>
  <c r="G142" i="38"/>
  <c r="H142" i="38"/>
  <c r="I142" i="38"/>
  <c r="J142" i="38"/>
  <c r="K142" i="38"/>
  <c r="L142" i="38"/>
  <c r="M142" i="38"/>
  <c r="N142" i="38"/>
  <c r="O142" i="38"/>
  <c r="C143" i="38"/>
  <c r="D143" i="38"/>
  <c r="E143" i="38"/>
  <c r="F143" i="38"/>
  <c r="G143" i="38"/>
  <c r="H143" i="38"/>
  <c r="I143" i="38"/>
  <c r="J143" i="38"/>
  <c r="K143" i="38"/>
  <c r="L143" i="38"/>
  <c r="M143" i="38"/>
  <c r="N143" i="38"/>
  <c r="O143" i="38"/>
  <c r="C144" i="38"/>
  <c r="D144" i="38"/>
  <c r="E144" i="38"/>
  <c r="F144" i="38"/>
  <c r="G144" i="38"/>
  <c r="H144" i="38"/>
  <c r="I144" i="38"/>
  <c r="J144" i="38"/>
  <c r="K144" i="38"/>
  <c r="L144" i="38"/>
  <c r="M144" i="38"/>
  <c r="N144" i="38"/>
  <c r="O144" i="38"/>
  <c r="C145" i="38"/>
  <c r="D145" i="38"/>
  <c r="E145" i="38"/>
  <c r="F145" i="38"/>
  <c r="G145" i="38"/>
  <c r="H145" i="38"/>
  <c r="I145" i="38"/>
  <c r="J145" i="38"/>
  <c r="K145" i="38"/>
  <c r="L145" i="38"/>
  <c r="M145" i="38"/>
  <c r="N145" i="38"/>
  <c r="O145" i="38"/>
  <c r="C146" i="38"/>
  <c r="D146" i="38"/>
  <c r="E146" i="38"/>
  <c r="F146" i="38"/>
  <c r="G146" i="38"/>
  <c r="H146" i="38"/>
  <c r="I146" i="38"/>
  <c r="J146" i="38"/>
  <c r="K146" i="38"/>
  <c r="L146" i="38"/>
  <c r="M146" i="38"/>
  <c r="N146" i="38"/>
  <c r="O146" i="38"/>
  <c r="C147" i="38"/>
  <c r="D147" i="38"/>
  <c r="E147" i="38"/>
  <c r="F147" i="38"/>
  <c r="G147" i="38"/>
  <c r="H147" i="38"/>
  <c r="I147" i="38"/>
  <c r="J147" i="38"/>
  <c r="K147" i="38"/>
  <c r="L147" i="38"/>
  <c r="M147" i="38"/>
  <c r="N147" i="38"/>
  <c r="O147" i="38"/>
  <c r="C148" i="38"/>
  <c r="D148" i="38"/>
  <c r="E148" i="38"/>
  <c r="F148" i="38"/>
  <c r="G148" i="38"/>
  <c r="H148" i="38"/>
  <c r="I148" i="38"/>
  <c r="J148" i="38"/>
  <c r="K148" i="38"/>
  <c r="L148" i="38"/>
  <c r="M148" i="38"/>
  <c r="N148" i="38"/>
  <c r="O148" i="38"/>
  <c r="C149" i="38"/>
  <c r="D149" i="38"/>
  <c r="E149" i="38"/>
  <c r="F149" i="38"/>
  <c r="G149" i="38"/>
  <c r="H149" i="38"/>
  <c r="I149" i="38"/>
  <c r="J149" i="38"/>
  <c r="K149" i="38"/>
  <c r="L149" i="38"/>
  <c r="M149" i="38"/>
  <c r="N149" i="38"/>
  <c r="O149" i="38"/>
  <c r="C150" i="38"/>
  <c r="D150" i="38"/>
  <c r="E150" i="38"/>
  <c r="F150" i="38"/>
  <c r="G150" i="38"/>
  <c r="H150" i="38"/>
  <c r="I150" i="38"/>
  <c r="J150" i="38"/>
  <c r="K150" i="38"/>
  <c r="L150" i="38"/>
  <c r="M150" i="38"/>
  <c r="N150" i="38"/>
  <c r="O150" i="38"/>
  <c r="C151" i="38"/>
  <c r="D151" i="38"/>
  <c r="E151" i="38"/>
  <c r="F151" i="38"/>
  <c r="G151" i="38"/>
  <c r="H151" i="38"/>
  <c r="I151" i="38"/>
  <c r="J151" i="38"/>
  <c r="K151" i="38"/>
  <c r="L151" i="38"/>
  <c r="M151" i="38"/>
  <c r="N151" i="38"/>
  <c r="O151" i="38"/>
  <c r="C152" i="38"/>
  <c r="D152" i="38"/>
  <c r="E152" i="38"/>
  <c r="F152" i="38"/>
  <c r="G152" i="38"/>
  <c r="H152" i="38"/>
  <c r="I152" i="38"/>
  <c r="J152" i="38"/>
  <c r="K152" i="38"/>
  <c r="L152" i="38"/>
  <c r="M152" i="38"/>
  <c r="N152" i="38"/>
  <c r="O152" i="38"/>
  <c r="C153" i="38"/>
  <c r="F153" i="38"/>
  <c r="G153" i="38"/>
  <c r="H153" i="38"/>
  <c r="I153" i="38"/>
  <c r="J153" i="38"/>
  <c r="K153" i="38"/>
  <c r="L153" i="38"/>
  <c r="N153" i="38"/>
  <c r="O153" i="38"/>
  <c r="B184" i="14"/>
  <c r="B182" i="14"/>
  <c r="B180" i="14"/>
  <c r="B178" i="14"/>
  <c r="B176" i="14"/>
  <c r="B175" i="14"/>
  <c r="A158" i="38"/>
  <c r="B140" i="38"/>
  <c r="B120" i="38"/>
  <c r="B117" i="38"/>
  <c r="B14" i="38"/>
  <c r="H67" i="8"/>
  <c r="G67" i="8"/>
  <c r="F67" i="8"/>
  <c r="E67" i="8"/>
  <c r="D67" i="8"/>
  <c r="C67" i="8"/>
  <c r="Q151" i="38" l="1"/>
  <c r="Q141" i="38"/>
  <c r="Q143" i="38"/>
  <c r="Q149" i="38"/>
  <c r="Q145" i="38"/>
  <c r="Q147" i="38"/>
  <c r="F22" i="23"/>
  <c r="G22" i="23"/>
  <c r="D22" i="23"/>
  <c r="E22" i="23"/>
  <c r="H22" i="23"/>
  <c r="C22" i="23"/>
  <c r="F22" i="21"/>
  <c r="G22" i="21"/>
  <c r="D22" i="21"/>
  <c r="E22" i="21"/>
  <c r="H22" i="21"/>
  <c r="C22" i="21"/>
  <c r="Q153" i="38"/>
  <c r="H52" i="8"/>
  <c r="G52" i="8"/>
  <c r="F52" i="8"/>
  <c r="E52" i="8"/>
  <c r="D52" i="8"/>
  <c r="C52" i="8"/>
  <c r="B52" i="8"/>
  <c r="B92" i="27"/>
  <c r="M71" i="27"/>
  <c r="M69" i="27"/>
  <c r="M67" i="27"/>
  <c r="M65" i="27"/>
  <c r="M63" i="27"/>
  <c r="M61" i="27"/>
  <c r="M36" i="27"/>
  <c r="M34" i="27"/>
  <c r="M32" i="27"/>
  <c r="M30" i="27"/>
  <c r="M28" i="27"/>
  <c r="M26" i="27"/>
  <c r="M24" i="27"/>
  <c r="M22" i="27"/>
  <c r="M7" i="27"/>
  <c r="M5" i="27"/>
  <c r="C6" i="21" l="1"/>
  <c r="M3" i="38"/>
  <c r="H33" i="8" l="1"/>
  <c r="L91" i="5"/>
  <c r="K91" i="5"/>
  <c r="G39" i="5"/>
  <c r="G40" i="5" s="1"/>
  <c r="G31" i="5"/>
  <c r="G62" i="5"/>
  <c r="G63" i="5" s="1"/>
  <c r="S34" i="14" l="1"/>
  <c r="B22" i="21" l="1"/>
  <c r="F23" i="21" l="1"/>
  <c r="G23" i="21"/>
  <c r="H23" i="21"/>
  <c r="E23" i="21"/>
  <c r="D23" i="21"/>
  <c r="C23" i="21"/>
  <c r="I23" i="21"/>
  <c r="S7" i="14"/>
  <c r="S5" i="14"/>
  <c r="B62" i="25" l="1"/>
  <c r="B58" i="25" l="1"/>
  <c r="B69" i="25"/>
  <c r="B96" i="14"/>
  <c r="B64" i="5"/>
  <c r="C65" i="5" s="1"/>
  <c r="B67" i="8"/>
  <c r="G33" i="8"/>
  <c r="F33" i="8"/>
  <c r="B33" i="8" s="1"/>
  <c r="H34" i="8" s="1"/>
  <c r="E33" i="8"/>
  <c r="D33" i="8"/>
  <c r="C33" i="8"/>
  <c r="B24" i="8"/>
  <c r="B92" i="38" l="1"/>
  <c r="B116" i="38" s="1"/>
  <c r="B139" i="38" s="1"/>
  <c r="H68" i="8"/>
  <c r="B92" i="14"/>
  <c r="B3" i="38"/>
  <c r="B13" i="38" s="1"/>
  <c r="H25" i="8"/>
  <c r="B61" i="38"/>
  <c r="B61" i="14" s="1"/>
  <c r="B63" i="17" s="1"/>
  <c r="B32" i="19" s="1"/>
  <c r="H53" i="8"/>
  <c r="B22" i="38"/>
  <c r="B22" i="14" s="1"/>
  <c r="B23" i="17" s="1"/>
  <c r="B13" i="19" s="1"/>
  <c r="B13" i="25" s="1"/>
  <c r="B54" i="8"/>
  <c r="G65" i="5"/>
  <c r="G77" i="5"/>
  <c r="G78" i="5" s="1"/>
  <c r="F77" i="5"/>
  <c r="E77" i="5"/>
  <c r="D77" i="5"/>
  <c r="C77" i="5"/>
  <c r="F62" i="5"/>
  <c r="E62" i="5"/>
  <c r="D62" i="5"/>
  <c r="C62" i="5"/>
  <c r="F39" i="5"/>
  <c r="E39" i="5"/>
  <c r="D39" i="5"/>
  <c r="C39" i="5"/>
  <c r="B32" i="25" l="1"/>
  <c r="H33" i="19"/>
  <c r="B3" i="14"/>
  <c r="B3" i="17" s="1"/>
  <c r="B3" i="19" s="1"/>
  <c r="B3" i="25" s="1"/>
  <c r="F4" i="25" s="1"/>
  <c r="M4" i="38"/>
  <c r="B63" i="38"/>
  <c r="B63" i="14" s="1"/>
  <c r="B65" i="17" s="1"/>
  <c r="B34" i="19" s="1"/>
  <c r="H55" i="8"/>
  <c r="R7" i="21"/>
  <c r="R5" i="21"/>
  <c r="R63" i="21"/>
  <c r="Q110" i="38"/>
  <c r="Q108" i="38"/>
  <c r="Q106" i="38"/>
  <c r="Q104" i="38"/>
  <c r="Q102" i="38"/>
  <c r="Q100" i="38"/>
  <c r="Q98" i="38"/>
  <c r="Q96" i="38"/>
  <c r="Q94" i="38"/>
  <c r="Q36" i="38"/>
  <c r="Q34" i="38"/>
  <c r="Q32" i="38"/>
  <c r="Q30" i="38"/>
  <c r="Q28" i="38"/>
  <c r="Q26" i="38"/>
  <c r="Q24" i="38"/>
  <c r="Q71" i="38"/>
  <c r="Q69" i="38"/>
  <c r="Q67" i="38"/>
  <c r="Q65" i="38"/>
  <c r="Q63" i="38"/>
  <c r="A30" i="5"/>
  <c r="R63" i="38" l="1"/>
  <c r="M64" i="38"/>
  <c r="B34" i="25"/>
  <c r="H35" i="19"/>
  <c r="T63" i="14"/>
  <c r="R65" i="17"/>
  <c r="Q111" i="38"/>
  <c r="B61" i="23"/>
  <c r="R61" i="23" s="1"/>
  <c r="R71" i="23"/>
  <c r="R69" i="23"/>
  <c r="R67" i="23"/>
  <c r="R65" i="23"/>
  <c r="R63" i="23"/>
  <c r="B22" i="23"/>
  <c r="R36" i="23"/>
  <c r="R34" i="23"/>
  <c r="R32" i="23"/>
  <c r="R30" i="23"/>
  <c r="R28" i="23"/>
  <c r="R26" i="23"/>
  <c r="R24" i="23"/>
  <c r="R7" i="23"/>
  <c r="R5" i="23"/>
  <c r="B3" i="23"/>
  <c r="R3" i="23" s="1"/>
  <c r="B3" i="21"/>
  <c r="B61" i="21"/>
  <c r="B14" i="17"/>
  <c r="B13" i="17"/>
  <c r="B81" i="17"/>
  <c r="B79" i="17"/>
  <c r="B44" i="17"/>
  <c r="B43" i="17"/>
  <c r="B14" i="14"/>
  <c r="B79" i="14"/>
  <c r="B23" i="14"/>
  <c r="B43" i="14" s="1"/>
  <c r="L158" i="38"/>
  <c r="L159" i="38" s="1"/>
  <c r="L161" i="38"/>
  <c r="L163" i="38"/>
  <c r="L165" i="38"/>
  <c r="L167" i="38"/>
  <c r="L169" i="38"/>
  <c r="B79" i="38"/>
  <c r="B78" i="38"/>
  <c r="B77" i="38"/>
  <c r="B64" i="38"/>
  <c r="B80" i="38" s="1"/>
  <c r="B42" i="38"/>
  <c r="B43" i="38"/>
  <c r="R96" i="38"/>
  <c r="B97" i="38"/>
  <c r="B121" i="38" s="1"/>
  <c r="R168" i="38"/>
  <c r="R166" i="38"/>
  <c r="R164" i="38"/>
  <c r="R162" i="38"/>
  <c r="R160" i="38"/>
  <c r="R158" i="38"/>
  <c r="B161" i="38"/>
  <c r="B163" i="38"/>
  <c r="B165" i="38"/>
  <c r="B167" i="38"/>
  <c r="M110" i="27"/>
  <c r="M108" i="27"/>
  <c r="M106" i="27"/>
  <c r="M104" i="27"/>
  <c r="M102" i="27"/>
  <c r="M100" i="27"/>
  <c r="M98" i="27"/>
  <c r="M96" i="27"/>
  <c r="M94" i="27"/>
  <c r="M92" i="27"/>
  <c r="B95" i="27"/>
  <c r="B97" i="27"/>
  <c r="B99" i="27"/>
  <c r="B101" i="27"/>
  <c r="B103" i="27"/>
  <c r="B105" i="27"/>
  <c r="B107" i="27"/>
  <c r="B109" i="27"/>
  <c r="B64" i="27"/>
  <c r="B66" i="27"/>
  <c r="B68" i="27"/>
  <c r="B70" i="27"/>
  <c r="B25" i="27"/>
  <c r="B27" i="27"/>
  <c r="B29" i="27"/>
  <c r="B31" i="27"/>
  <c r="B33" i="27"/>
  <c r="B35" i="27"/>
  <c r="B6" i="27"/>
  <c r="B161" i="14"/>
  <c r="B177" i="14" s="1"/>
  <c r="B174" i="14"/>
  <c r="T158" i="14"/>
  <c r="T160" i="14"/>
  <c r="T162" i="14"/>
  <c r="T164" i="14"/>
  <c r="T166" i="14"/>
  <c r="T168" i="14"/>
  <c r="B97" i="14"/>
  <c r="B121" i="14" s="1"/>
  <c r="B120" i="14"/>
  <c r="B117" i="14"/>
  <c r="B116" i="14"/>
  <c r="B163" i="14"/>
  <c r="B179" i="14" s="1"/>
  <c r="B165" i="14"/>
  <c r="B181" i="14" s="1"/>
  <c r="B167" i="14"/>
  <c r="B183" i="14" s="1"/>
  <c r="B66" i="17"/>
  <c r="B82" i="17" s="1"/>
  <c r="R22" i="23" l="1"/>
  <c r="I23" i="23"/>
  <c r="C23" i="23"/>
  <c r="G23" i="23"/>
  <c r="H23" i="23"/>
  <c r="E23" i="23"/>
  <c r="D23" i="23"/>
  <c r="F23" i="23"/>
  <c r="B62" i="14"/>
  <c r="B78" i="14" s="1"/>
  <c r="B64" i="14"/>
  <c r="B80" i="14" s="1"/>
  <c r="B77" i="14"/>
  <c r="B42" i="14"/>
  <c r="B13" i="14"/>
  <c r="B70" i="21"/>
  <c r="B64" i="17"/>
  <c r="B80" i="17" s="1"/>
  <c r="R92" i="38"/>
  <c r="U165" i="14"/>
  <c r="U166" i="14" s="1"/>
  <c r="U161" i="14"/>
  <c r="U162" i="14" s="1"/>
  <c r="S165" i="38"/>
  <c r="S166" i="38" s="1"/>
  <c r="S161" i="38"/>
  <c r="S162" i="38" s="1"/>
  <c r="B175" i="38"/>
  <c r="B184" i="38"/>
  <c r="B182" i="38"/>
  <c r="B180" i="38"/>
  <c r="B178" i="38"/>
  <c r="B176" i="38"/>
  <c r="B174" i="38"/>
  <c r="S96" i="38"/>
  <c r="M111" i="27"/>
  <c r="M3" i="27"/>
  <c r="A3" i="27"/>
  <c r="K3" i="21" l="1"/>
  <c r="B49" i="25"/>
  <c r="F50" i="25" s="1"/>
  <c r="B64" i="25"/>
  <c r="F65" i="25" s="1"/>
  <c r="F63" i="25"/>
  <c r="B60" i="25"/>
  <c r="F61" i="25" s="1"/>
  <c r="B53" i="25"/>
  <c r="E54" i="25" s="1"/>
  <c r="B51" i="25"/>
  <c r="F52" i="25" s="1"/>
  <c r="D35" i="25"/>
  <c r="N72" i="23"/>
  <c r="N70" i="23"/>
  <c r="N68" i="23"/>
  <c r="N66" i="23"/>
  <c r="N64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N37" i="23"/>
  <c r="N35" i="23"/>
  <c r="N33" i="23"/>
  <c r="N31" i="23"/>
  <c r="N29" i="23"/>
  <c r="N27" i="23"/>
  <c r="N25" i="23"/>
  <c r="O22" i="23"/>
  <c r="N22" i="23"/>
  <c r="M22" i="23"/>
  <c r="L22" i="23"/>
  <c r="K22" i="23"/>
  <c r="J22" i="23"/>
  <c r="N8" i="23"/>
  <c r="N6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O72" i="21"/>
  <c r="N68" i="21"/>
  <c r="O66" i="21"/>
  <c r="L64" i="21"/>
  <c r="O22" i="21"/>
  <c r="N22" i="21"/>
  <c r="M22" i="21"/>
  <c r="L22" i="21"/>
  <c r="K22" i="21"/>
  <c r="J22" i="21"/>
  <c r="N37" i="21"/>
  <c r="M35" i="21"/>
  <c r="K31" i="21"/>
  <c r="E27" i="21"/>
  <c r="L8" i="21"/>
  <c r="N6" i="21"/>
  <c r="O3" i="21"/>
  <c r="N3" i="21"/>
  <c r="M3" i="21"/>
  <c r="L3" i="21"/>
  <c r="J3" i="21"/>
  <c r="I3" i="21"/>
  <c r="H3" i="21"/>
  <c r="G3" i="21"/>
  <c r="F3" i="21"/>
  <c r="E3" i="21"/>
  <c r="D3" i="21"/>
  <c r="C3" i="21"/>
  <c r="B57" i="19"/>
  <c r="B55" i="19"/>
  <c r="B53" i="19"/>
  <c r="B51" i="19"/>
  <c r="B49" i="19"/>
  <c r="F35" i="19"/>
  <c r="F52" i="19" l="1"/>
  <c r="B73" i="25"/>
  <c r="C74" i="25" s="1"/>
  <c r="E50" i="19"/>
  <c r="B71" i="25"/>
  <c r="D72" i="25" s="1"/>
  <c r="F56" i="19"/>
  <c r="B77" i="25"/>
  <c r="D78" i="25" s="1"/>
  <c r="H58" i="19"/>
  <c r="B79" i="25"/>
  <c r="D80" i="25" s="1"/>
  <c r="H54" i="19"/>
  <c r="B75" i="25"/>
  <c r="D76" i="25" s="1"/>
  <c r="E74" i="25"/>
  <c r="D70" i="25"/>
  <c r="C61" i="25"/>
  <c r="D61" i="25"/>
  <c r="C54" i="25"/>
  <c r="F54" i="25"/>
  <c r="D52" i="25"/>
  <c r="C52" i="25"/>
  <c r="C50" i="25"/>
  <c r="F33" i="25"/>
  <c r="C35" i="25"/>
  <c r="L62" i="23"/>
  <c r="E70" i="23"/>
  <c r="M70" i="23"/>
  <c r="I35" i="23"/>
  <c r="E27" i="23"/>
  <c r="F4" i="23"/>
  <c r="D72" i="21"/>
  <c r="H72" i="21"/>
  <c r="I72" i="21"/>
  <c r="L72" i="21"/>
  <c r="E72" i="21"/>
  <c r="M72" i="21"/>
  <c r="J70" i="21"/>
  <c r="E70" i="21"/>
  <c r="M70" i="21"/>
  <c r="F70" i="21"/>
  <c r="N70" i="21"/>
  <c r="I70" i="21"/>
  <c r="D66" i="21"/>
  <c r="H66" i="21"/>
  <c r="L66" i="21"/>
  <c r="F72" i="21"/>
  <c r="J72" i="21"/>
  <c r="N72" i="21"/>
  <c r="C72" i="21"/>
  <c r="G72" i="21"/>
  <c r="K72" i="21"/>
  <c r="C70" i="21"/>
  <c r="G70" i="21"/>
  <c r="K70" i="21"/>
  <c r="O70" i="21"/>
  <c r="D70" i="21"/>
  <c r="H70" i="21"/>
  <c r="L70" i="21"/>
  <c r="F68" i="21"/>
  <c r="J68" i="21"/>
  <c r="C68" i="21"/>
  <c r="G68" i="21"/>
  <c r="K68" i="21"/>
  <c r="O68" i="21"/>
  <c r="D68" i="21"/>
  <c r="H68" i="21"/>
  <c r="L68" i="21"/>
  <c r="E68" i="21"/>
  <c r="I68" i="21"/>
  <c r="M68" i="21"/>
  <c r="E66" i="21"/>
  <c r="I66" i="21"/>
  <c r="M66" i="21"/>
  <c r="F66" i="21"/>
  <c r="J66" i="21"/>
  <c r="N66" i="21"/>
  <c r="C66" i="21"/>
  <c r="G66" i="21"/>
  <c r="K66" i="21"/>
  <c r="O62" i="21"/>
  <c r="F64" i="21"/>
  <c r="C64" i="21"/>
  <c r="G64" i="21"/>
  <c r="K64" i="21"/>
  <c r="O64" i="21"/>
  <c r="D64" i="21"/>
  <c r="H64" i="21"/>
  <c r="E64" i="21"/>
  <c r="I64" i="21"/>
  <c r="M64" i="21"/>
  <c r="J64" i="21"/>
  <c r="N64" i="21"/>
  <c r="C37" i="21"/>
  <c r="D37" i="21"/>
  <c r="K37" i="21"/>
  <c r="L37" i="21"/>
  <c r="G37" i="21"/>
  <c r="O37" i="21"/>
  <c r="H37" i="21"/>
  <c r="J35" i="21"/>
  <c r="N35" i="21"/>
  <c r="F35" i="21"/>
  <c r="G33" i="21"/>
  <c r="M33" i="21"/>
  <c r="C33" i="21"/>
  <c r="I33" i="21"/>
  <c r="E33" i="21"/>
  <c r="J33" i="21"/>
  <c r="O33" i="21"/>
  <c r="F33" i="21"/>
  <c r="K33" i="21"/>
  <c r="N33" i="21"/>
  <c r="E29" i="21"/>
  <c r="J29" i="21"/>
  <c r="F29" i="21"/>
  <c r="K29" i="21"/>
  <c r="G29" i="21"/>
  <c r="M29" i="21"/>
  <c r="C29" i="21"/>
  <c r="I29" i="21"/>
  <c r="N29" i="21"/>
  <c r="O29" i="21"/>
  <c r="E37" i="21"/>
  <c r="I37" i="21"/>
  <c r="M37" i="21"/>
  <c r="F37" i="21"/>
  <c r="J37" i="21"/>
  <c r="C35" i="21"/>
  <c r="K35" i="21"/>
  <c r="D35" i="21"/>
  <c r="H35" i="21"/>
  <c r="L35" i="21"/>
  <c r="G35" i="21"/>
  <c r="O35" i="21"/>
  <c r="E35" i="21"/>
  <c r="I35" i="21"/>
  <c r="D33" i="21"/>
  <c r="H33" i="21"/>
  <c r="L33" i="21"/>
  <c r="C31" i="21"/>
  <c r="G31" i="21"/>
  <c r="O31" i="21"/>
  <c r="D31" i="21"/>
  <c r="H31" i="21"/>
  <c r="L31" i="21"/>
  <c r="E31" i="21"/>
  <c r="I31" i="21"/>
  <c r="M31" i="21"/>
  <c r="F31" i="21"/>
  <c r="J31" i="21"/>
  <c r="N31" i="21"/>
  <c r="D29" i="21"/>
  <c r="H29" i="21"/>
  <c r="L29" i="21"/>
  <c r="C27" i="21"/>
  <c r="O27" i="21"/>
  <c r="D27" i="21"/>
  <c r="H27" i="21"/>
  <c r="I27" i="21"/>
  <c r="M27" i="21"/>
  <c r="F27" i="21"/>
  <c r="J27" i="21"/>
  <c r="N27" i="21"/>
  <c r="K27" i="21"/>
  <c r="G27" i="21"/>
  <c r="L27" i="21"/>
  <c r="I25" i="21"/>
  <c r="J25" i="21"/>
  <c r="E25" i="21"/>
  <c r="M25" i="21"/>
  <c r="F25" i="21"/>
  <c r="N25" i="21"/>
  <c r="C25" i="21"/>
  <c r="G25" i="21"/>
  <c r="K25" i="21"/>
  <c r="O25" i="21"/>
  <c r="D25" i="21"/>
  <c r="H25" i="21"/>
  <c r="L25" i="21"/>
  <c r="J8" i="21"/>
  <c r="F8" i="21"/>
  <c r="K8" i="21"/>
  <c r="D8" i="21"/>
  <c r="H8" i="21"/>
  <c r="E8" i="21"/>
  <c r="I8" i="21"/>
  <c r="M8" i="21"/>
  <c r="N8" i="21"/>
  <c r="G8" i="21"/>
  <c r="O8" i="21"/>
  <c r="K6" i="21"/>
  <c r="G6" i="21"/>
  <c r="O6" i="21"/>
  <c r="H6" i="21"/>
  <c r="D6" i="21"/>
  <c r="L6" i="21"/>
  <c r="E6" i="21"/>
  <c r="I6" i="21"/>
  <c r="M6" i="21"/>
  <c r="F6" i="21"/>
  <c r="J6" i="21"/>
  <c r="E58" i="19"/>
  <c r="F58" i="19"/>
  <c r="C58" i="19"/>
  <c r="G58" i="19"/>
  <c r="D58" i="19"/>
  <c r="C56" i="19"/>
  <c r="G56" i="19"/>
  <c r="D56" i="19"/>
  <c r="H56" i="19"/>
  <c r="E56" i="19"/>
  <c r="E54" i="19"/>
  <c r="F54" i="19"/>
  <c r="C54" i="19"/>
  <c r="G54" i="19"/>
  <c r="D54" i="19"/>
  <c r="G52" i="19"/>
  <c r="C52" i="19"/>
  <c r="H52" i="19"/>
  <c r="D52" i="19"/>
  <c r="E52" i="19"/>
  <c r="F50" i="19"/>
  <c r="G50" i="19"/>
  <c r="D50" i="19"/>
  <c r="H50" i="19"/>
  <c r="C50" i="19"/>
  <c r="C35" i="19"/>
  <c r="D35" i="19"/>
  <c r="G35" i="19"/>
  <c r="D65" i="25"/>
  <c r="E65" i="25"/>
  <c r="C65" i="25"/>
  <c r="C63" i="25"/>
  <c r="D59" i="25"/>
  <c r="D63" i="25"/>
  <c r="E63" i="25"/>
  <c r="E61" i="25"/>
  <c r="D54" i="25"/>
  <c r="E52" i="25"/>
  <c r="D50" i="25"/>
  <c r="E50" i="25"/>
  <c r="B47" i="25"/>
  <c r="A47" i="25" s="1"/>
  <c r="E35" i="25"/>
  <c r="F35" i="25"/>
  <c r="C64" i="23"/>
  <c r="G64" i="23"/>
  <c r="K64" i="23"/>
  <c r="O64" i="23"/>
  <c r="C66" i="23"/>
  <c r="G66" i="23"/>
  <c r="K66" i="23"/>
  <c r="O66" i="23"/>
  <c r="C68" i="23"/>
  <c r="G68" i="23"/>
  <c r="K68" i="23"/>
  <c r="O68" i="23"/>
  <c r="C70" i="23"/>
  <c r="G70" i="23"/>
  <c r="K70" i="23"/>
  <c r="O70" i="23"/>
  <c r="C72" i="23"/>
  <c r="G72" i="23"/>
  <c r="K72" i="23"/>
  <c r="O72" i="23"/>
  <c r="D64" i="23"/>
  <c r="H64" i="23"/>
  <c r="L64" i="23"/>
  <c r="D66" i="23"/>
  <c r="H66" i="23"/>
  <c r="L66" i="23"/>
  <c r="D68" i="23"/>
  <c r="H68" i="23"/>
  <c r="L68" i="23"/>
  <c r="D70" i="23"/>
  <c r="H70" i="23"/>
  <c r="L70" i="23"/>
  <c r="D72" i="23"/>
  <c r="H72" i="23"/>
  <c r="L72" i="23"/>
  <c r="E64" i="23"/>
  <c r="I64" i="23"/>
  <c r="M64" i="23"/>
  <c r="E66" i="23"/>
  <c r="I66" i="23"/>
  <c r="M66" i="23"/>
  <c r="E68" i="23"/>
  <c r="I68" i="23"/>
  <c r="M68" i="23"/>
  <c r="I70" i="23"/>
  <c r="E72" i="23"/>
  <c r="I72" i="23"/>
  <c r="M72" i="23"/>
  <c r="F64" i="23"/>
  <c r="J64" i="23"/>
  <c r="F66" i="23"/>
  <c r="J66" i="23"/>
  <c r="F68" i="23"/>
  <c r="J68" i="23"/>
  <c r="F70" i="23"/>
  <c r="J70" i="23"/>
  <c r="F72" i="23"/>
  <c r="J72" i="23"/>
  <c r="M23" i="23"/>
  <c r="C25" i="23"/>
  <c r="G25" i="23"/>
  <c r="K25" i="23"/>
  <c r="O25" i="23"/>
  <c r="C27" i="23"/>
  <c r="G27" i="23"/>
  <c r="K27" i="23"/>
  <c r="O27" i="23"/>
  <c r="C29" i="23"/>
  <c r="G29" i="23"/>
  <c r="K29" i="23"/>
  <c r="O29" i="23"/>
  <c r="C31" i="23"/>
  <c r="G31" i="23"/>
  <c r="K31" i="23"/>
  <c r="O31" i="23"/>
  <c r="C33" i="23"/>
  <c r="G33" i="23"/>
  <c r="K33" i="23"/>
  <c r="O33" i="23"/>
  <c r="C35" i="23"/>
  <c r="G35" i="23"/>
  <c r="K35" i="23"/>
  <c r="O35" i="23"/>
  <c r="C37" i="23"/>
  <c r="G37" i="23"/>
  <c r="K37" i="23"/>
  <c r="O37" i="23"/>
  <c r="D25" i="23"/>
  <c r="H25" i="23"/>
  <c r="L25" i="23"/>
  <c r="D27" i="23"/>
  <c r="H27" i="23"/>
  <c r="L27" i="23"/>
  <c r="D29" i="23"/>
  <c r="H29" i="23"/>
  <c r="L29" i="23"/>
  <c r="D31" i="23"/>
  <c r="H31" i="23"/>
  <c r="L31" i="23"/>
  <c r="D33" i="23"/>
  <c r="H33" i="23"/>
  <c r="L33" i="23"/>
  <c r="D35" i="23"/>
  <c r="H35" i="23"/>
  <c r="L35" i="23"/>
  <c r="D37" i="23"/>
  <c r="H37" i="23"/>
  <c r="L37" i="23"/>
  <c r="E25" i="23"/>
  <c r="I25" i="23"/>
  <c r="M25" i="23"/>
  <c r="I27" i="23"/>
  <c r="M27" i="23"/>
  <c r="E29" i="23"/>
  <c r="I29" i="23"/>
  <c r="M29" i="23"/>
  <c r="E31" i="23"/>
  <c r="I31" i="23"/>
  <c r="M31" i="23"/>
  <c r="E33" i="23"/>
  <c r="I33" i="23"/>
  <c r="M33" i="23"/>
  <c r="E35" i="23"/>
  <c r="M35" i="23"/>
  <c r="E37" i="23"/>
  <c r="I37" i="23"/>
  <c r="M37" i="23"/>
  <c r="F25" i="23"/>
  <c r="J25" i="23"/>
  <c r="F27" i="23"/>
  <c r="J27" i="23"/>
  <c r="F29" i="23"/>
  <c r="J29" i="23"/>
  <c r="F31" i="23"/>
  <c r="J31" i="23"/>
  <c r="F33" i="23"/>
  <c r="J33" i="23"/>
  <c r="F35" i="23"/>
  <c r="J35" i="23"/>
  <c r="B37" i="23"/>
  <c r="F37" i="23"/>
  <c r="J37" i="23"/>
  <c r="E6" i="23"/>
  <c r="I6" i="23"/>
  <c r="M6" i="23"/>
  <c r="M8" i="23"/>
  <c r="C6" i="23"/>
  <c r="G6" i="23"/>
  <c r="K6" i="23"/>
  <c r="O6" i="23"/>
  <c r="C8" i="23"/>
  <c r="G8" i="23"/>
  <c r="K8" i="23"/>
  <c r="O8" i="23"/>
  <c r="D6" i="23"/>
  <c r="H6" i="23"/>
  <c r="L6" i="23"/>
  <c r="D8" i="23"/>
  <c r="H8" i="23"/>
  <c r="L8" i="23"/>
  <c r="I8" i="23"/>
  <c r="E8" i="23"/>
  <c r="F6" i="23"/>
  <c r="J6" i="23"/>
  <c r="F8" i="23"/>
  <c r="J8" i="23"/>
  <c r="E35" i="19"/>
  <c r="C33" i="19"/>
  <c r="C14" i="19"/>
  <c r="C76" i="25" l="1"/>
  <c r="F74" i="25"/>
  <c r="D74" i="25"/>
  <c r="B74" i="25"/>
  <c r="E76" i="25"/>
  <c r="C78" i="25"/>
  <c r="E78" i="25"/>
  <c r="F72" i="25"/>
  <c r="F78" i="25"/>
  <c r="F80" i="25"/>
  <c r="E80" i="25"/>
  <c r="C80" i="25"/>
  <c r="C72" i="25"/>
  <c r="E72" i="25"/>
  <c r="F76" i="25"/>
  <c r="C70" i="25"/>
  <c r="E70" i="25"/>
  <c r="F70" i="25"/>
  <c r="E33" i="25"/>
  <c r="C33" i="25"/>
  <c r="D33" i="25"/>
  <c r="B35" i="25"/>
  <c r="B65" i="25"/>
  <c r="B52" i="25"/>
  <c r="C14" i="25"/>
  <c r="D14" i="25"/>
  <c r="B72" i="25"/>
  <c r="B70" i="25"/>
  <c r="B54" i="25"/>
  <c r="B61" i="25"/>
  <c r="B63" i="25"/>
  <c r="B80" i="25"/>
  <c r="F14" i="25"/>
  <c r="B50" i="25"/>
  <c r="B78" i="25"/>
  <c r="B76" i="25"/>
  <c r="E14" i="25"/>
  <c r="I62" i="23"/>
  <c r="B68" i="23"/>
  <c r="C62" i="23"/>
  <c r="O62" i="23"/>
  <c r="H62" i="23"/>
  <c r="M62" i="23"/>
  <c r="B70" i="23"/>
  <c r="B64" i="23"/>
  <c r="K62" i="23"/>
  <c r="J62" i="23"/>
  <c r="D62" i="23"/>
  <c r="B72" i="23"/>
  <c r="E62" i="23"/>
  <c r="N62" i="23"/>
  <c r="B66" i="23"/>
  <c r="G62" i="23"/>
  <c r="F62" i="23"/>
  <c r="B25" i="23"/>
  <c r="B33" i="23"/>
  <c r="B27" i="23"/>
  <c r="O23" i="23"/>
  <c r="N23" i="23"/>
  <c r="B35" i="23"/>
  <c r="B29" i="23"/>
  <c r="J23" i="23"/>
  <c r="K23" i="23"/>
  <c r="L23" i="23"/>
  <c r="B31" i="23"/>
  <c r="E4" i="23"/>
  <c r="N4" i="23"/>
  <c r="K4" i="23"/>
  <c r="B6" i="23"/>
  <c r="L4" i="23"/>
  <c r="I4" i="23"/>
  <c r="B8" i="23"/>
  <c r="D4" i="23"/>
  <c r="J4" i="23"/>
  <c r="C4" i="23"/>
  <c r="O4" i="23"/>
  <c r="M4" i="23"/>
  <c r="H4" i="23"/>
  <c r="G4" i="23"/>
  <c r="B64" i="21"/>
  <c r="G62" i="21"/>
  <c r="M62" i="21"/>
  <c r="B68" i="21"/>
  <c r="B66" i="21"/>
  <c r="C62" i="21"/>
  <c r="N62" i="21"/>
  <c r="I62" i="21"/>
  <c r="L62" i="21"/>
  <c r="J62" i="21"/>
  <c r="E62" i="21"/>
  <c r="H62" i="21"/>
  <c r="B72" i="21"/>
  <c r="K62" i="21"/>
  <c r="F62" i="21"/>
  <c r="D62" i="21"/>
  <c r="B31" i="21"/>
  <c r="B29" i="21"/>
  <c r="B35" i="21"/>
  <c r="B27" i="21"/>
  <c r="N23" i="21"/>
  <c r="J23" i="21"/>
  <c r="L23" i="21"/>
  <c r="B37" i="21"/>
  <c r="K23" i="21"/>
  <c r="B33" i="21"/>
  <c r="M23" i="21"/>
  <c r="O23" i="21"/>
  <c r="B25" i="21"/>
  <c r="M4" i="21"/>
  <c r="B6" i="21"/>
  <c r="L4" i="21"/>
  <c r="H4" i="21"/>
  <c r="D4" i="21"/>
  <c r="B8" i="21"/>
  <c r="O4" i="21"/>
  <c r="K4" i="21"/>
  <c r="G4" i="21"/>
  <c r="N4" i="21"/>
  <c r="J4" i="21"/>
  <c r="F4" i="21"/>
  <c r="I4" i="21"/>
  <c r="E4" i="21"/>
  <c r="H48" i="19"/>
  <c r="G48" i="19"/>
  <c r="B52" i="19"/>
  <c r="B56" i="19"/>
  <c r="D48" i="19"/>
  <c r="F48" i="19"/>
  <c r="B58" i="19"/>
  <c r="E48" i="19"/>
  <c r="B54" i="19"/>
  <c r="C48" i="19"/>
  <c r="B50" i="19"/>
  <c r="G33" i="19"/>
  <c r="C59" i="25"/>
  <c r="F59" i="25"/>
  <c r="E59" i="25"/>
  <c r="F48" i="25"/>
  <c r="E48" i="25"/>
  <c r="D48" i="25"/>
  <c r="C48" i="25"/>
  <c r="F14" i="19"/>
  <c r="H14" i="19"/>
  <c r="D14" i="19"/>
  <c r="G14" i="19"/>
  <c r="E14" i="19"/>
  <c r="D33" i="19"/>
  <c r="B35" i="19"/>
  <c r="F33" i="19"/>
  <c r="E33" i="19"/>
  <c r="A3" i="23"/>
  <c r="A5" i="23"/>
  <c r="A7" i="23"/>
  <c r="A153" i="27"/>
  <c r="L73" i="23" l="1"/>
  <c r="J73" i="23"/>
  <c r="M73" i="23"/>
  <c r="I73" i="23"/>
  <c r="P73" i="23"/>
  <c r="C73" i="23"/>
  <c r="E73" i="23"/>
  <c r="F73" i="23"/>
  <c r="K73" i="23"/>
  <c r="H73" i="23"/>
  <c r="O73" i="23"/>
  <c r="N73" i="23"/>
  <c r="G73" i="23"/>
  <c r="D73" i="23"/>
  <c r="J38" i="23"/>
  <c r="N38" i="23"/>
  <c r="G38" i="23"/>
  <c r="K38" i="23"/>
  <c r="P38" i="23"/>
  <c r="D38" i="23"/>
  <c r="M38" i="23"/>
  <c r="C38" i="23"/>
  <c r="L38" i="23"/>
  <c r="E38" i="23"/>
  <c r="O38" i="23"/>
  <c r="F38" i="23"/>
  <c r="I38" i="23"/>
  <c r="H38" i="23"/>
  <c r="G9" i="23"/>
  <c r="C9" i="23"/>
  <c r="P9" i="23"/>
  <c r="L9" i="23"/>
  <c r="N9" i="23"/>
  <c r="M9" i="23"/>
  <c r="I9" i="23"/>
  <c r="E9" i="23"/>
  <c r="F9" i="23"/>
  <c r="K9" i="23"/>
  <c r="O9" i="23"/>
  <c r="D9" i="23"/>
  <c r="H9" i="23"/>
  <c r="J9" i="23"/>
  <c r="O73" i="21"/>
  <c r="L73" i="21"/>
  <c r="G73" i="21"/>
  <c r="D73" i="21"/>
  <c r="H73" i="21"/>
  <c r="I73" i="21"/>
  <c r="F73" i="21"/>
  <c r="E73" i="21"/>
  <c r="N73" i="21"/>
  <c r="K73" i="21"/>
  <c r="J73" i="21"/>
  <c r="C73" i="21"/>
  <c r="M73" i="21"/>
  <c r="P73" i="21"/>
  <c r="M38" i="21"/>
  <c r="G38" i="21"/>
  <c r="I38" i="21"/>
  <c r="K38" i="21"/>
  <c r="P38" i="21"/>
  <c r="O38" i="21"/>
  <c r="F38" i="21"/>
  <c r="H38" i="21"/>
  <c r="D38" i="21"/>
  <c r="J38" i="21"/>
  <c r="E38" i="21"/>
  <c r="C38" i="21"/>
  <c r="L38" i="21"/>
  <c r="N38" i="21"/>
  <c r="B55" i="8"/>
  <c r="B133" i="27"/>
  <c r="B125" i="27"/>
  <c r="B119" i="27"/>
  <c r="B111" i="27"/>
  <c r="B135" i="27" s="1"/>
  <c r="B131" i="27"/>
  <c r="B129" i="27"/>
  <c r="B127" i="27"/>
  <c r="B123" i="27"/>
  <c r="B121" i="27"/>
  <c r="B134" i="27"/>
  <c r="B132" i="27"/>
  <c r="B130" i="27"/>
  <c r="B128" i="27"/>
  <c r="B126" i="27"/>
  <c r="B124" i="27"/>
  <c r="B122" i="27"/>
  <c r="B120" i="27"/>
  <c r="B118" i="27"/>
  <c r="B117" i="27"/>
  <c r="B116" i="27"/>
  <c r="B87" i="27"/>
  <c r="B85" i="27"/>
  <c r="B83" i="27"/>
  <c r="B81" i="27"/>
  <c r="B79" i="27"/>
  <c r="C92" i="27"/>
  <c r="D92" i="27"/>
  <c r="E92" i="27"/>
  <c r="F92" i="27"/>
  <c r="G92" i="27"/>
  <c r="H92" i="27"/>
  <c r="I92" i="27"/>
  <c r="J92" i="27"/>
  <c r="B77" i="27"/>
  <c r="B153" i="27" l="1"/>
  <c r="K3" i="14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L61" i="38"/>
  <c r="F62" i="14" l="1"/>
  <c r="G64" i="14"/>
  <c r="F64" i="14"/>
  <c r="M64" i="14"/>
  <c r="K64" i="14"/>
  <c r="O64" i="14"/>
  <c r="J64" i="14"/>
  <c r="E64" i="14"/>
  <c r="N64" i="14"/>
  <c r="I64" i="14"/>
  <c r="C64" i="14"/>
  <c r="P64" i="14"/>
  <c r="L64" i="14"/>
  <c r="H64" i="14"/>
  <c r="D64" i="14"/>
  <c r="G62" i="14" l="1"/>
  <c r="K62" i="14"/>
  <c r="D62" i="14"/>
  <c r="P62" i="14"/>
  <c r="E62" i="14"/>
  <c r="N62" i="14"/>
  <c r="I62" i="14"/>
  <c r="H62" i="14"/>
  <c r="O62" i="14"/>
  <c r="J62" i="14"/>
  <c r="L62" i="14"/>
  <c r="M62" i="14"/>
  <c r="C62" i="14"/>
  <c r="S12" i="38"/>
  <c r="T12" i="38"/>
  <c r="U12" i="38"/>
  <c r="V12" i="38"/>
  <c r="W12" i="38"/>
  <c r="X12" i="38"/>
  <c r="Y12" i="38"/>
  <c r="Z12" i="38"/>
  <c r="AA12" i="38"/>
  <c r="AB12" i="38"/>
  <c r="AC12" i="38"/>
  <c r="AD12" i="38"/>
  <c r="AE12" i="38"/>
  <c r="Q158" i="14" l="1"/>
  <c r="P158" i="14"/>
  <c r="O158" i="14"/>
  <c r="N158" i="14"/>
  <c r="M158" i="14"/>
  <c r="L158" i="14"/>
  <c r="K158" i="14"/>
  <c r="J158" i="14"/>
  <c r="I158" i="14"/>
  <c r="H158" i="14"/>
  <c r="G158" i="14"/>
  <c r="F158" i="14"/>
  <c r="E158" i="14"/>
  <c r="D158" i="14"/>
  <c r="C158" i="14"/>
  <c r="P167" i="14"/>
  <c r="P163" i="14"/>
  <c r="Q161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P97" i="14"/>
  <c r="Q64" i="14"/>
  <c r="Q61" i="14"/>
  <c r="Q62" i="14" s="1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G165" i="14" l="1"/>
  <c r="K165" i="14"/>
  <c r="O165" i="14"/>
  <c r="C165" i="14"/>
  <c r="E163" i="14"/>
  <c r="M163" i="14"/>
  <c r="F163" i="14"/>
  <c r="N163" i="14"/>
  <c r="I163" i="14"/>
  <c r="Q163" i="14"/>
  <c r="J163" i="14"/>
  <c r="E167" i="14"/>
  <c r="I167" i="14"/>
  <c r="M167" i="14"/>
  <c r="Q167" i="14"/>
  <c r="F167" i="14"/>
  <c r="J167" i="14"/>
  <c r="N167" i="14"/>
  <c r="C167" i="14"/>
  <c r="G167" i="14"/>
  <c r="K167" i="14"/>
  <c r="O167" i="14"/>
  <c r="D167" i="14"/>
  <c r="H167" i="14"/>
  <c r="L167" i="14"/>
  <c r="D165" i="14"/>
  <c r="H165" i="14"/>
  <c r="L165" i="14"/>
  <c r="P165" i="14"/>
  <c r="E165" i="14"/>
  <c r="I165" i="14"/>
  <c r="M165" i="14"/>
  <c r="Q165" i="14"/>
  <c r="F165" i="14"/>
  <c r="J165" i="14"/>
  <c r="N165" i="14"/>
  <c r="C163" i="14"/>
  <c r="G163" i="14"/>
  <c r="K163" i="14"/>
  <c r="O163" i="14"/>
  <c r="D163" i="14"/>
  <c r="H163" i="14"/>
  <c r="L163" i="14"/>
  <c r="F161" i="14"/>
  <c r="C161" i="14"/>
  <c r="K161" i="14"/>
  <c r="D161" i="14"/>
  <c r="H161" i="14"/>
  <c r="L161" i="14"/>
  <c r="P161" i="14"/>
  <c r="J161" i="14"/>
  <c r="N161" i="14"/>
  <c r="G161" i="14"/>
  <c r="O161" i="14"/>
  <c r="E161" i="14"/>
  <c r="I161" i="14"/>
  <c r="M161" i="14"/>
  <c r="K169" i="14"/>
  <c r="G169" i="14"/>
  <c r="O169" i="14"/>
  <c r="C169" i="14"/>
  <c r="D169" i="14"/>
  <c r="H169" i="14"/>
  <c r="L169" i="14"/>
  <c r="P169" i="14"/>
  <c r="E169" i="14"/>
  <c r="I169" i="14"/>
  <c r="M169" i="14"/>
  <c r="Q169" i="14"/>
  <c r="F169" i="14"/>
  <c r="J169" i="14"/>
  <c r="N169" i="14"/>
  <c r="Q97" i="14"/>
  <c r="I97" i="14"/>
  <c r="J97" i="14"/>
  <c r="E97" i="14"/>
  <c r="M97" i="14"/>
  <c r="F97" i="14"/>
  <c r="N97" i="14"/>
  <c r="C97" i="14"/>
  <c r="G97" i="14"/>
  <c r="K97" i="14"/>
  <c r="O97" i="14"/>
  <c r="D97" i="14"/>
  <c r="H97" i="14"/>
  <c r="L97" i="14"/>
  <c r="Q73" i="14"/>
  <c r="P73" i="14"/>
  <c r="K73" i="14"/>
  <c r="G73" i="14"/>
  <c r="C73" i="14"/>
  <c r="O73" i="14"/>
  <c r="N73" i="14"/>
  <c r="J73" i="14"/>
  <c r="F73" i="14"/>
  <c r="D73" i="14"/>
  <c r="H73" i="14"/>
  <c r="L73" i="14"/>
  <c r="E73" i="14"/>
  <c r="I73" i="14"/>
  <c r="M73" i="14"/>
  <c r="Q3" i="14"/>
  <c r="P3" i="14"/>
  <c r="O3" i="14"/>
  <c r="N3" i="14"/>
  <c r="M3" i="14"/>
  <c r="L3" i="14"/>
  <c r="J3" i="14"/>
  <c r="I3" i="14"/>
  <c r="H3" i="14"/>
  <c r="G3" i="14"/>
  <c r="F3" i="14"/>
  <c r="E3" i="14"/>
  <c r="D3" i="14"/>
  <c r="C3" i="14"/>
  <c r="O158" i="38"/>
  <c r="N158" i="38"/>
  <c r="M158" i="38"/>
  <c r="K158" i="38"/>
  <c r="J158" i="38"/>
  <c r="I158" i="38"/>
  <c r="H158" i="38"/>
  <c r="G158" i="38"/>
  <c r="F158" i="38"/>
  <c r="E158" i="38"/>
  <c r="D158" i="38"/>
  <c r="C158" i="38"/>
  <c r="I169" i="38"/>
  <c r="E167" i="38"/>
  <c r="O163" i="38"/>
  <c r="H161" i="38"/>
  <c r="O92" i="38"/>
  <c r="N92" i="38"/>
  <c r="M92" i="38"/>
  <c r="L92" i="38"/>
  <c r="K92" i="38"/>
  <c r="J92" i="38"/>
  <c r="I92" i="38"/>
  <c r="H92" i="38"/>
  <c r="G92" i="38"/>
  <c r="F92" i="38"/>
  <c r="E92" i="38"/>
  <c r="D92" i="38"/>
  <c r="C92" i="38"/>
  <c r="O61" i="38"/>
  <c r="N61" i="38"/>
  <c r="M61" i="38"/>
  <c r="K61" i="38"/>
  <c r="J61" i="38"/>
  <c r="I61" i="38"/>
  <c r="H61" i="38"/>
  <c r="G61" i="38"/>
  <c r="F61" i="38"/>
  <c r="E61" i="38"/>
  <c r="D61" i="38"/>
  <c r="C61" i="38"/>
  <c r="L64" i="38"/>
  <c r="O22" i="38"/>
  <c r="N22" i="38"/>
  <c r="M22" i="38"/>
  <c r="L22" i="38"/>
  <c r="K22" i="38"/>
  <c r="J22" i="38"/>
  <c r="I22" i="38"/>
  <c r="H22" i="38"/>
  <c r="G22" i="38"/>
  <c r="F22" i="38"/>
  <c r="E22" i="38"/>
  <c r="D22" i="38"/>
  <c r="C22" i="38"/>
  <c r="O3" i="38"/>
  <c r="N3" i="38"/>
  <c r="L3" i="38"/>
  <c r="K3" i="38"/>
  <c r="J3" i="38"/>
  <c r="I3" i="38"/>
  <c r="H3" i="38"/>
  <c r="G3" i="38"/>
  <c r="F3" i="38"/>
  <c r="E3" i="38"/>
  <c r="D3" i="38"/>
  <c r="C3" i="38"/>
  <c r="G55" i="8"/>
  <c r="H107" i="27"/>
  <c r="I103" i="27"/>
  <c r="H97" i="27"/>
  <c r="H95" i="27"/>
  <c r="E111" i="27"/>
  <c r="H105" i="27"/>
  <c r="I95" i="27"/>
  <c r="E95" i="27"/>
  <c r="Q61" i="38" l="1"/>
  <c r="N159" i="14"/>
  <c r="J159" i="14"/>
  <c r="F159" i="14"/>
  <c r="G159" i="14"/>
  <c r="Q159" i="14"/>
  <c r="M159" i="14"/>
  <c r="I159" i="14"/>
  <c r="E159" i="14"/>
  <c r="O159" i="14"/>
  <c r="K159" i="14"/>
  <c r="P159" i="14"/>
  <c r="L159" i="14"/>
  <c r="H159" i="14"/>
  <c r="D159" i="14"/>
  <c r="C159" i="14"/>
  <c r="P93" i="14"/>
  <c r="L93" i="14"/>
  <c r="H93" i="14"/>
  <c r="D93" i="14"/>
  <c r="O93" i="14"/>
  <c r="K93" i="14"/>
  <c r="G93" i="14"/>
  <c r="N93" i="14"/>
  <c r="J93" i="14"/>
  <c r="F93" i="14"/>
  <c r="Q93" i="14"/>
  <c r="M93" i="14"/>
  <c r="I93" i="14"/>
  <c r="E93" i="14"/>
  <c r="C93" i="14"/>
  <c r="N23" i="14"/>
  <c r="J23" i="14"/>
  <c r="F23" i="14"/>
  <c r="Q23" i="14"/>
  <c r="M23" i="14"/>
  <c r="I23" i="14"/>
  <c r="E23" i="14"/>
  <c r="P23" i="14"/>
  <c r="L23" i="14"/>
  <c r="H23" i="14"/>
  <c r="D23" i="14"/>
  <c r="O23" i="14"/>
  <c r="K23" i="14"/>
  <c r="G23" i="14"/>
  <c r="C23" i="14"/>
  <c r="D169" i="38"/>
  <c r="E169" i="38"/>
  <c r="H169" i="38"/>
  <c r="O165" i="38"/>
  <c r="G165" i="38"/>
  <c r="H163" i="38"/>
  <c r="K163" i="38"/>
  <c r="D163" i="38"/>
  <c r="G163" i="38"/>
  <c r="D161" i="38"/>
  <c r="O161" i="38"/>
  <c r="C161" i="38"/>
  <c r="M169" i="38"/>
  <c r="C169" i="38"/>
  <c r="N163" i="38"/>
  <c r="C163" i="38"/>
  <c r="M165" i="38"/>
  <c r="C165" i="38"/>
  <c r="C167" i="38"/>
  <c r="J165" i="38"/>
  <c r="K165" i="38"/>
  <c r="I167" i="38"/>
  <c r="F165" i="38"/>
  <c r="N165" i="38"/>
  <c r="M167" i="38"/>
  <c r="M97" i="38"/>
  <c r="E97" i="38"/>
  <c r="J97" i="38"/>
  <c r="O64" i="38"/>
  <c r="J64" i="38"/>
  <c r="D64" i="38"/>
  <c r="H64" i="38"/>
  <c r="E64" i="38"/>
  <c r="I64" i="38"/>
  <c r="F64" i="38"/>
  <c r="N64" i="38"/>
  <c r="C64" i="38"/>
  <c r="G64" i="38"/>
  <c r="K64" i="38"/>
  <c r="J23" i="38"/>
  <c r="B169" i="14"/>
  <c r="B185" i="14" s="1"/>
  <c r="P4" i="14"/>
  <c r="F169" i="38"/>
  <c r="J169" i="38"/>
  <c r="N169" i="38"/>
  <c r="G169" i="38"/>
  <c r="K169" i="38"/>
  <c r="O169" i="38"/>
  <c r="F167" i="38"/>
  <c r="J167" i="38"/>
  <c r="N167" i="38"/>
  <c r="G167" i="38"/>
  <c r="K167" i="38"/>
  <c r="O167" i="38"/>
  <c r="D167" i="38"/>
  <c r="H167" i="38"/>
  <c r="D165" i="38"/>
  <c r="H165" i="38"/>
  <c r="E165" i="38"/>
  <c r="I165" i="38"/>
  <c r="E163" i="38"/>
  <c r="I163" i="38"/>
  <c r="M163" i="38"/>
  <c r="F163" i="38"/>
  <c r="J163" i="38"/>
  <c r="E161" i="38"/>
  <c r="I161" i="38"/>
  <c r="M161" i="38"/>
  <c r="F161" i="38"/>
  <c r="J161" i="38"/>
  <c r="N161" i="38"/>
  <c r="G161" i="38"/>
  <c r="K161" i="38"/>
  <c r="F97" i="38"/>
  <c r="N97" i="38"/>
  <c r="I97" i="38"/>
  <c r="C97" i="38"/>
  <c r="G97" i="38"/>
  <c r="K97" i="38"/>
  <c r="O97" i="38"/>
  <c r="D97" i="38"/>
  <c r="H97" i="38"/>
  <c r="L97" i="38"/>
  <c r="L62" i="38"/>
  <c r="D55" i="8"/>
  <c r="E55" i="8"/>
  <c r="F55" i="8"/>
  <c r="C53" i="8"/>
  <c r="C55" i="8"/>
  <c r="E25" i="8"/>
  <c r="D111" i="27"/>
  <c r="E109" i="27"/>
  <c r="H109" i="27"/>
  <c r="I109" i="27"/>
  <c r="D109" i="27"/>
  <c r="E107" i="27"/>
  <c r="I107" i="27"/>
  <c r="F107" i="27"/>
  <c r="J107" i="27"/>
  <c r="C107" i="27"/>
  <c r="G107" i="27"/>
  <c r="D107" i="27"/>
  <c r="E105" i="27"/>
  <c r="I105" i="27"/>
  <c r="H99" i="27"/>
  <c r="F101" i="27"/>
  <c r="J101" i="27"/>
  <c r="E99" i="27"/>
  <c r="C97" i="27"/>
  <c r="G97" i="27"/>
  <c r="I97" i="27"/>
  <c r="D97" i="27"/>
  <c r="E97" i="27"/>
  <c r="J97" i="27"/>
  <c r="F97" i="27"/>
  <c r="H111" i="27"/>
  <c r="I111" i="27"/>
  <c r="D105" i="27"/>
  <c r="F103" i="27"/>
  <c r="J103" i="27"/>
  <c r="C103" i="27"/>
  <c r="G103" i="27"/>
  <c r="D103" i="27"/>
  <c r="H103" i="27"/>
  <c r="E103" i="27"/>
  <c r="D101" i="27"/>
  <c r="H101" i="27"/>
  <c r="E101" i="27"/>
  <c r="I101" i="27"/>
  <c r="C101" i="27"/>
  <c r="G101" i="27"/>
  <c r="I99" i="27"/>
  <c r="D99" i="27"/>
  <c r="F111" i="27"/>
  <c r="J111" i="27"/>
  <c r="C111" i="27"/>
  <c r="G111" i="27"/>
  <c r="F109" i="27"/>
  <c r="J109" i="27"/>
  <c r="C109" i="27"/>
  <c r="G109" i="27"/>
  <c r="F105" i="27"/>
  <c r="J105" i="27"/>
  <c r="C105" i="27"/>
  <c r="G105" i="27"/>
  <c r="F99" i="27"/>
  <c r="J99" i="27"/>
  <c r="C99" i="27"/>
  <c r="G99" i="27"/>
  <c r="F95" i="27"/>
  <c r="J95" i="27"/>
  <c r="I93" i="27"/>
  <c r="C95" i="27"/>
  <c r="G95" i="27"/>
  <c r="D95" i="27"/>
  <c r="J61" i="27"/>
  <c r="J62" i="27" s="1"/>
  <c r="I61" i="27"/>
  <c r="I62" i="27" s="1"/>
  <c r="H61" i="27"/>
  <c r="H62" i="27" s="1"/>
  <c r="G61" i="27"/>
  <c r="G62" i="27" s="1"/>
  <c r="F61" i="27"/>
  <c r="F62" i="27" s="1"/>
  <c r="E61" i="27"/>
  <c r="E62" i="27" s="1"/>
  <c r="D61" i="27"/>
  <c r="D62" i="27" s="1"/>
  <c r="C61" i="27"/>
  <c r="C62" i="27" s="1"/>
  <c r="B72" i="27"/>
  <c r="B88" i="27" s="1"/>
  <c r="J70" i="27"/>
  <c r="J68" i="27"/>
  <c r="J66" i="27"/>
  <c r="B86" i="27"/>
  <c r="B84" i="27"/>
  <c r="H68" i="27"/>
  <c r="C68" i="27"/>
  <c r="I64" i="27"/>
  <c r="H64" i="27"/>
  <c r="I112" i="14" l="1"/>
  <c r="O4" i="38"/>
  <c r="M112" i="14"/>
  <c r="N112" i="14"/>
  <c r="O112" i="14"/>
  <c r="C112" i="14"/>
  <c r="Q112" i="14"/>
  <c r="R112" i="14"/>
  <c r="D112" i="14"/>
  <c r="E112" i="14"/>
  <c r="F112" i="14"/>
  <c r="G112" i="14"/>
  <c r="H112" i="14"/>
  <c r="J112" i="14"/>
  <c r="K112" i="14"/>
  <c r="L112" i="14"/>
  <c r="P112" i="14"/>
  <c r="C170" i="14"/>
  <c r="P170" i="14"/>
  <c r="F170" i="14"/>
  <c r="D170" i="14"/>
  <c r="J170" i="14"/>
  <c r="H170" i="14"/>
  <c r="O170" i="14"/>
  <c r="Q170" i="14"/>
  <c r="N170" i="14"/>
  <c r="I170" i="14"/>
  <c r="K170" i="14"/>
  <c r="M170" i="14"/>
  <c r="L170" i="14"/>
  <c r="E170" i="14"/>
  <c r="G170" i="14"/>
  <c r="R170" i="14"/>
  <c r="I73" i="27"/>
  <c r="E73" i="27"/>
  <c r="F73" i="27"/>
  <c r="J73" i="27"/>
  <c r="C73" i="27"/>
  <c r="K73" i="27"/>
  <c r="D73" i="27"/>
  <c r="H73" i="27"/>
  <c r="G73" i="27"/>
  <c r="O38" i="14"/>
  <c r="L38" i="14"/>
  <c r="E38" i="14"/>
  <c r="N38" i="14"/>
  <c r="C38" i="14"/>
  <c r="P38" i="14"/>
  <c r="I38" i="14"/>
  <c r="R38" i="14"/>
  <c r="G38" i="14"/>
  <c r="D38" i="14"/>
  <c r="M38" i="14"/>
  <c r="F38" i="14"/>
  <c r="K38" i="14"/>
  <c r="H38" i="14"/>
  <c r="Q38" i="14"/>
  <c r="J38" i="14"/>
  <c r="E4" i="14"/>
  <c r="G159" i="38"/>
  <c r="B179" i="38"/>
  <c r="B169" i="38"/>
  <c r="B185" i="38" s="1"/>
  <c r="B177" i="38"/>
  <c r="B183" i="38"/>
  <c r="B181" i="38"/>
  <c r="M159" i="38"/>
  <c r="I159" i="38"/>
  <c r="K159" i="38"/>
  <c r="E159" i="38"/>
  <c r="J159" i="38"/>
  <c r="F159" i="38"/>
  <c r="D159" i="38"/>
  <c r="O159" i="38"/>
  <c r="H159" i="38"/>
  <c r="N159" i="38"/>
  <c r="C159" i="38"/>
  <c r="J93" i="38"/>
  <c r="M62" i="38"/>
  <c r="I62" i="38"/>
  <c r="E62" i="38"/>
  <c r="D62" i="38"/>
  <c r="O62" i="38"/>
  <c r="K62" i="38"/>
  <c r="C62" i="38"/>
  <c r="N62" i="38"/>
  <c r="J62" i="38"/>
  <c r="F62" i="38"/>
  <c r="H62" i="38"/>
  <c r="G62" i="38"/>
  <c r="N23" i="38"/>
  <c r="L4" i="38"/>
  <c r="N4" i="38"/>
  <c r="K4" i="38"/>
  <c r="H4" i="38"/>
  <c r="J4" i="38"/>
  <c r="I4" i="38"/>
  <c r="D4" i="38"/>
  <c r="G4" i="38"/>
  <c r="F4" i="38"/>
  <c r="E4" i="38"/>
  <c r="C4" i="38"/>
  <c r="C4" i="14"/>
  <c r="O4" i="14"/>
  <c r="I4" i="14"/>
  <c r="Q4" i="14"/>
  <c r="K4" i="14"/>
  <c r="N4" i="14"/>
  <c r="F4" i="14"/>
  <c r="L4" i="14"/>
  <c r="D4" i="14"/>
  <c r="J4" i="14"/>
  <c r="M4" i="14"/>
  <c r="G4" i="14"/>
  <c r="H4" i="14"/>
  <c r="L93" i="38"/>
  <c r="H93" i="38"/>
  <c r="O93" i="38"/>
  <c r="D93" i="38"/>
  <c r="K93" i="38"/>
  <c r="G93" i="38"/>
  <c r="N93" i="38"/>
  <c r="E93" i="38"/>
  <c r="M93" i="38"/>
  <c r="F93" i="38"/>
  <c r="C93" i="38"/>
  <c r="I93" i="38"/>
  <c r="D23" i="38"/>
  <c r="K23" i="38"/>
  <c r="M23" i="38"/>
  <c r="F23" i="38"/>
  <c r="I23" i="38"/>
  <c r="E23" i="38"/>
  <c r="L23" i="38"/>
  <c r="C23" i="38"/>
  <c r="O23" i="38"/>
  <c r="H23" i="38"/>
  <c r="G23" i="38"/>
  <c r="F68" i="8"/>
  <c r="G68" i="8"/>
  <c r="E68" i="8"/>
  <c r="D68" i="8"/>
  <c r="C68" i="8"/>
  <c r="F53" i="8"/>
  <c r="G53" i="8"/>
  <c r="E53" i="8"/>
  <c r="D53" i="8"/>
  <c r="F34" i="8"/>
  <c r="G34" i="8"/>
  <c r="E34" i="8"/>
  <c r="D34" i="8"/>
  <c r="C34" i="8"/>
  <c r="G25" i="8"/>
  <c r="D25" i="8"/>
  <c r="C25" i="8"/>
  <c r="F25" i="8"/>
  <c r="C93" i="27"/>
  <c r="H93" i="27"/>
  <c r="D93" i="27"/>
  <c r="G93" i="27"/>
  <c r="J93" i="27"/>
  <c r="F93" i="27"/>
  <c r="E93" i="27"/>
  <c r="D72" i="27"/>
  <c r="H72" i="27"/>
  <c r="C70" i="27"/>
  <c r="G70" i="27"/>
  <c r="H70" i="27"/>
  <c r="D64" i="27"/>
  <c r="E64" i="27"/>
  <c r="D70" i="27"/>
  <c r="D68" i="27"/>
  <c r="G68" i="27"/>
  <c r="D66" i="27"/>
  <c r="B82" i="27"/>
  <c r="G66" i="27"/>
  <c r="H66" i="27"/>
  <c r="C66" i="27"/>
  <c r="E72" i="27"/>
  <c r="I72" i="27"/>
  <c r="F72" i="27"/>
  <c r="J72" i="27"/>
  <c r="C72" i="27"/>
  <c r="G72" i="27"/>
  <c r="E70" i="27"/>
  <c r="I70" i="27"/>
  <c r="F70" i="27"/>
  <c r="E68" i="27"/>
  <c r="I68" i="27"/>
  <c r="F68" i="27"/>
  <c r="E66" i="27"/>
  <c r="I66" i="27"/>
  <c r="F66" i="27"/>
  <c r="B80" i="27"/>
  <c r="F64" i="27"/>
  <c r="J64" i="27"/>
  <c r="C64" i="27"/>
  <c r="G64" i="27"/>
  <c r="I37" i="27"/>
  <c r="J35" i="27"/>
  <c r="J31" i="27"/>
  <c r="J29" i="27"/>
  <c r="J25" i="27"/>
  <c r="J22" i="27"/>
  <c r="I22" i="27"/>
  <c r="H22" i="27"/>
  <c r="G22" i="27"/>
  <c r="F22" i="27"/>
  <c r="E22" i="27"/>
  <c r="D22" i="27"/>
  <c r="C22" i="27"/>
  <c r="F11" i="27"/>
  <c r="J3" i="27"/>
  <c r="I3" i="27"/>
  <c r="H3" i="27"/>
  <c r="G3" i="27"/>
  <c r="F3" i="27"/>
  <c r="E3" i="27"/>
  <c r="D3" i="27"/>
  <c r="C3" i="27"/>
  <c r="E8" i="27"/>
  <c r="F65" i="5"/>
  <c r="E65" i="5"/>
  <c r="D65" i="5"/>
  <c r="E112" i="27" l="1"/>
  <c r="K112" i="27"/>
  <c r="F112" i="27"/>
  <c r="D112" i="27"/>
  <c r="I112" i="27"/>
  <c r="J112" i="27"/>
  <c r="H112" i="27"/>
  <c r="G112" i="27"/>
  <c r="C112" i="27"/>
  <c r="Q9" i="14"/>
  <c r="J9" i="14"/>
  <c r="C9" i="14"/>
  <c r="H170" i="38"/>
  <c r="F170" i="38"/>
  <c r="G170" i="38"/>
  <c r="C170" i="38"/>
  <c r="K170" i="38"/>
  <c r="E170" i="38"/>
  <c r="N170" i="38"/>
  <c r="D170" i="38"/>
  <c r="P170" i="38"/>
  <c r="M170" i="38"/>
  <c r="O170" i="38"/>
  <c r="J170" i="38"/>
  <c r="L170" i="38"/>
  <c r="I170" i="38"/>
  <c r="E73" i="38"/>
  <c r="C73" i="38"/>
  <c r="I73" i="38"/>
  <c r="P73" i="38"/>
  <c r="N73" i="38"/>
  <c r="O73" i="38"/>
  <c r="G73" i="38"/>
  <c r="F73" i="38"/>
  <c r="D73" i="38"/>
  <c r="H73" i="38"/>
  <c r="J73" i="38"/>
  <c r="K73" i="38"/>
  <c r="L73" i="38"/>
  <c r="M73" i="38"/>
  <c r="H38" i="38"/>
  <c r="C38" i="38"/>
  <c r="I38" i="38"/>
  <c r="D38" i="38"/>
  <c r="F38" i="38"/>
  <c r="L38" i="38"/>
  <c r="M38" i="38"/>
  <c r="J38" i="38"/>
  <c r="G38" i="38"/>
  <c r="O38" i="38"/>
  <c r="E38" i="38"/>
  <c r="P38" i="38"/>
  <c r="K38" i="38"/>
  <c r="N38" i="38"/>
  <c r="P9" i="38"/>
  <c r="F9" i="38"/>
  <c r="L9" i="38"/>
  <c r="K9" i="38"/>
  <c r="N9" i="38"/>
  <c r="G9" i="38"/>
  <c r="D9" i="38"/>
  <c r="E9" i="38"/>
  <c r="I9" i="38"/>
  <c r="H9" i="38"/>
  <c r="C9" i="38"/>
  <c r="O9" i="38"/>
  <c r="M9" i="38"/>
  <c r="J9" i="38"/>
  <c r="R9" i="14"/>
  <c r="N9" i="14"/>
  <c r="F9" i="14"/>
  <c r="H9" i="14"/>
  <c r="G9" i="14"/>
  <c r="D9" i="14"/>
  <c r="O9" i="14"/>
  <c r="E9" i="14"/>
  <c r="P9" i="14"/>
  <c r="M9" i="14"/>
  <c r="L9" i="14"/>
  <c r="K9" i="14"/>
  <c r="I9" i="14"/>
  <c r="M112" i="38"/>
  <c r="J112" i="38"/>
  <c r="E112" i="38"/>
  <c r="O112" i="38"/>
  <c r="I112" i="38"/>
  <c r="C112" i="38"/>
  <c r="P112" i="38"/>
  <c r="K112" i="38"/>
  <c r="L112" i="38"/>
  <c r="N112" i="38"/>
  <c r="H112" i="38"/>
  <c r="F112" i="38"/>
  <c r="G112" i="38"/>
  <c r="D112" i="38"/>
  <c r="C37" i="27"/>
  <c r="J37" i="27"/>
  <c r="D35" i="27"/>
  <c r="E35" i="27"/>
  <c r="I35" i="27"/>
  <c r="F33" i="27"/>
  <c r="D27" i="27"/>
  <c r="H27" i="27"/>
  <c r="G35" i="27"/>
  <c r="C35" i="27"/>
  <c r="H35" i="27"/>
  <c r="H33" i="27"/>
  <c r="D33" i="27"/>
  <c r="I33" i="27"/>
  <c r="E33" i="27"/>
  <c r="J33" i="27"/>
  <c r="G29" i="27"/>
  <c r="C29" i="27"/>
  <c r="F37" i="27"/>
  <c r="G37" i="27"/>
  <c r="D37" i="27"/>
  <c r="H37" i="27"/>
  <c r="E37" i="27"/>
  <c r="F35" i="27"/>
  <c r="C33" i="27"/>
  <c r="G33" i="27"/>
  <c r="C31" i="27"/>
  <c r="G31" i="27"/>
  <c r="D31" i="27"/>
  <c r="H31" i="27"/>
  <c r="E31" i="27"/>
  <c r="I31" i="27"/>
  <c r="F31" i="27"/>
  <c r="D29" i="27"/>
  <c r="H29" i="27"/>
  <c r="E29" i="27"/>
  <c r="I29" i="27"/>
  <c r="F29" i="27"/>
  <c r="E27" i="27"/>
  <c r="I27" i="27"/>
  <c r="F27" i="27"/>
  <c r="J27" i="27"/>
  <c r="C27" i="27"/>
  <c r="G27" i="27"/>
  <c r="C25" i="27"/>
  <c r="G25" i="27"/>
  <c r="D25" i="27"/>
  <c r="H25" i="27"/>
  <c r="E25" i="27"/>
  <c r="I25" i="27"/>
  <c r="F25" i="27"/>
  <c r="C23" i="27"/>
  <c r="J11" i="27"/>
  <c r="C11" i="27"/>
  <c r="G11" i="27"/>
  <c r="K11" i="27"/>
  <c r="D11" i="27"/>
  <c r="E11" i="27"/>
  <c r="I11" i="27"/>
  <c r="H11" i="27"/>
  <c r="F8" i="27"/>
  <c r="J8" i="27"/>
  <c r="I8" i="27"/>
  <c r="F6" i="27"/>
  <c r="C6" i="27"/>
  <c r="H6" i="27"/>
  <c r="H4" i="27"/>
  <c r="D6" i="27"/>
  <c r="I6" i="27"/>
  <c r="E6" i="27"/>
  <c r="J6" i="27"/>
  <c r="C8" i="27"/>
  <c r="G8" i="27"/>
  <c r="D8" i="27"/>
  <c r="H8" i="27"/>
  <c r="G6" i="27"/>
  <c r="B95" i="5"/>
  <c r="B93" i="5"/>
  <c r="B91" i="5"/>
  <c r="B89" i="5"/>
  <c r="B87" i="5"/>
  <c r="B85" i="5"/>
  <c r="B83" i="5"/>
  <c r="B81" i="5"/>
  <c r="B79" i="5"/>
  <c r="F63" i="5"/>
  <c r="E63" i="5"/>
  <c r="D63" i="5"/>
  <c r="C63" i="5"/>
  <c r="B65" i="5"/>
  <c r="B72" i="5"/>
  <c r="B70" i="5"/>
  <c r="B68" i="5"/>
  <c r="B66" i="5"/>
  <c r="B32" i="5"/>
  <c r="G33" i="5" s="1"/>
  <c r="B34" i="5"/>
  <c r="G35" i="5" s="1"/>
  <c r="B53" i="5"/>
  <c r="G54" i="5" s="1"/>
  <c r="B51" i="5"/>
  <c r="G52" i="5" s="1"/>
  <c r="B49" i="5"/>
  <c r="G50" i="5" s="1"/>
  <c r="B47" i="5"/>
  <c r="G48" i="5" s="1"/>
  <c r="B45" i="5"/>
  <c r="G46" i="5" s="1"/>
  <c r="B43" i="5"/>
  <c r="G44" i="5" s="1"/>
  <c r="B41" i="5"/>
  <c r="B77" i="8" l="1"/>
  <c r="H78" i="8" s="1"/>
  <c r="G88" i="5"/>
  <c r="C88" i="5"/>
  <c r="F88" i="5"/>
  <c r="E88" i="5"/>
  <c r="D88" i="5"/>
  <c r="B79" i="8"/>
  <c r="H80" i="8" s="1"/>
  <c r="G90" i="5"/>
  <c r="F90" i="5"/>
  <c r="E90" i="5"/>
  <c r="D90" i="5"/>
  <c r="C90" i="5"/>
  <c r="B83" i="8"/>
  <c r="H84" i="8" s="1"/>
  <c r="G94" i="5"/>
  <c r="F94" i="5"/>
  <c r="E94" i="5"/>
  <c r="D94" i="5"/>
  <c r="C94" i="5"/>
  <c r="G71" i="5"/>
  <c r="C71" i="5"/>
  <c r="B69" i="8"/>
  <c r="H70" i="8" s="1"/>
  <c r="G80" i="5"/>
  <c r="C80" i="5"/>
  <c r="E80" i="5"/>
  <c r="F80" i="5"/>
  <c r="D80" i="5"/>
  <c r="B85" i="8"/>
  <c r="H86" i="8" s="1"/>
  <c r="G96" i="5"/>
  <c r="C96" i="5"/>
  <c r="F96" i="5"/>
  <c r="E96" i="5"/>
  <c r="D96" i="5"/>
  <c r="G67" i="5"/>
  <c r="C67" i="5"/>
  <c r="G73" i="5"/>
  <c r="C73" i="5"/>
  <c r="G82" i="5"/>
  <c r="B71" i="8"/>
  <c r="H72" i="8" s="1"/>
  <c r="F82" i="5"/>
  <c r="E82" i="5"/>
  <c r="D82" i="5"/>
  <c r="C82" i="5"/>
  <c r="G69" i="5"/>
  <c r="C69" i="5"/>
  <c r="G84" i="5"/>
  <c r="B73" i="8"/>
  <c r="H74" i="8" s="1"/>
  <c r="C84" i="5"/>
  <c r="F84" i="5"/>
  <c r="E84" i="5"/>
  <c r="D84" i="5"/>
  <c r="B81" i="8"/>
  <c r="H82" i="8" s="1"/>
  <c r="G92" i="5"/>
  <c r="C92" i="5"/>
  <c r="E92" i="5"/>
  <c r="F92" i="5"/>
  <c r="D92" i="5"/>
  <c r="B73" i="5"/>
  <c r="G86" i="5"/>
  <c r="B75" i="8"/>
  <c r="H76" i="8" s="1"/>
  <c r="F86" i="5"/>
  <c r="E86" i="5"/>
  <c r="D86" i="5"/>
  <c r="C86" i="5"/>
  <c r="A41" i="5"/>
  <c r="A24" i="27" s="1"/>
  <c r="G42" i="5"/>
  <c r="B71" i="5"/>
  <c r="B58" i="8"/>
  <c r="H59" i="8" s="1"/>
  <c r="E69" i="5"/>
  <c r="F69" i="5"/>
  <c r="D69" i="5"/>
  <c r="B60" i="8"/>
  <c r="H61" i="8" s="1"/>
  <c r="E71" i="5"/>
  <c r="F71" i="5"/>
  <c r="D71" i="5"/>
  <c r="B62" i="8"/>
  <c r="H63" i="8" s="1"/>
  <c r="F73" i="5"/>
  <c r="E73" i="5"/>
  <c r="D73" i="5"/>
  <c r="B56" i="8"/>
  <c r="H57" i="8" s="1"/>
  <c r="E67" i="5"/>
  <c r="D67" i="5"/>
  <c r="F67" i="5"/>
  <c r="B67" i="5"/>
  <c r="B69" i="5"/>
  <c r="B26" i="8"/>
  <c r="H27" i="8" s="1"/>
  <c r="A32" i="5"/>
  <c r="A5" i="27" s="1"/>
  <c r="D33" i="5"/>
  <c r="C33" i="5"/>
  <c r="E33" i="5"/>
  <c r="F33" i="5"/>
  <c r="B28" i="8"/>
  <c r="H29" i="8" s="1"/>
  <c r="F35" i="5"/>
  <c r="E35" i="5"/>
  <c r="C35" i="5"/>
  <c r="D35" i="5"/>
  <c r="B39" i="8"/>
  <c r="H40" i="8" s="1"/>
  <c r="F46" i="5"/>
  <c r="D46" i="5"/>
  <c r="E46" i="5"/>
  <c r="C46" i="5"/>
  <c r="B37" i="8"/>
  <c r="H38" i="8" s="1"/>
  <c r="D44" i="5"/>
  <c r="C44" i="5"/>
  <c r="F44" i="5"/>
  <c r="E44" i="5"/>
  <c r="B43" i="8"/>
  <c r="H44" i="8" s="1"/>
  <c r="C50" i="5"/>
  <c r="E50" i="5"/>
  <c r="D50" i="5"/>
  <c r="F50" i="5"/>
  <c r="B45" i="8"/>
  <c r="H46" i="8" s="1"/>
  <c r="E52" i="5"/>
  <c r="D52" i="5"/>
  <c r="C52" i="5"/>
  <c r="F52" i="5"/>
  <c r="B47" i="8"/>
  <c r="H48" i="8" s="1"/>
  <c r="F54" i="5"/>
  <c r="E54" i="5"/>
  <c r="D54" i="5"/>
  <c r="C54" i="5"/>
  <c r="B41" i="8"/>
  <c r="H42" i="8" s="1"/>
  <c r="D48" i="5"/>
  <c r="C48" i="5"/>
  <c r="F48" i="5"/>
  <c r="E48" i="5"/>
  <c r="B35" i="8"/>
  <c r="H36" i="8" s="1"/>
  <c r="F42" i="5"/>
  <c r="E42" i="5"/>
  <c r="C42" i="5"/>
  <c r="D42" i="5"/>
  <c r="G23" i="27"/>
  <c r="B37" i="27"/>
  <c r="J23" i="27"/>
  <c r="F23" i="27"/>
  <c r="I23" i="27"/>
  <c r="E23" i="27"/>
  <c r="H23" i="27"/>
  <c r="D23" i="27"/>
  <c r="C4" i="27"/>
  <c r="G4" i="27"/>
  <c r="I4" i="27"/>
  <c r="D4" i="27"/>
  <c r="F4" i="27"/>
  <c r="B8" i="27"/>
  <c r="J4" i="27"/>
  <c r="E4" i="27"/>
  <c r="A62" i="5"/>
  <c r="B33" i="5"/>
  <c r="D31" i="5"/>
  <c r="E31" i="5"/>
  <c r="B35" i="5"/>
  <c r="C31" i="5"/>
  <c r="F31" i="5"/>
  <c r="B98" i="38" l="1"/>
  <c r="B122" i="38" s="1"/>
  <c r="B143" i="38" s="1"/>
  <c r="B74" i="8"/>
  <c r="E74" i="8"/>
  <c r="G74" i="8"/>
  <c r="D74" i="8"/>
  <c r="C74" i="8"/>
  <c r="F74" i="8"/>
  <c r="B104" i="38"/>
  <c r="B128" i="38" s="1"/>
  <c r="B153" i="38" s="1"/>
  <c r="B80" i="8"/>
  <c r="G80" i="8"/>
  <c r="E80" i="8"/>
  <c r="D80" i="8"/>
  <c r="C80" i="8"/>
  <c r="F80" i="8"/>
  <c r="B94" i="38"/>
  <c r="B118" i="38" s="1"/>
  <c r="B141" i="38" s="1"/>
  <c r="B70" i="8"/>
  <c r="G70" i="8"/>
  <c r="E70" i="8"/>
  <c r="F70" i="8"/>
  <c r="C70" i="8"/>
  <c r="D70" i="8"/>
  <c r="B108" i="38"/>
  <c r="B132" i="38" s="1"/>
  <c r="B151" i="38" s="1"/>
  <c r="B84" i="8"/>
  <c r="F84" i="8"/>
  <c r="C84" i="8"/>
  <c r="G84" i="8"/>
  <c r="D84" i="8"/>
  <c r="E84" i="8"/>
  <c r="B72" i="8"/>
  <c r="G72" i="8"/>
  <c r="F72" i="8"/>
  <c r="E72" i="8"/>
  <c r="D72" i="8"/>
  <c r="C72" i="8"/>
  <c r="C9" i="27"/>
  <c r="B100" i="38"/>
  <c r="B124" i="38" s="1"/>
  <c r="B145" i="38" s="1"/>
  <c r="B76" i="8"/>
  <c r="F76" i="8"/>
  <c r="D76" i="8"/>
  <c r="C76" i="8"/>
  <c r="E76" i="8"/>
  <c r="G76" i="8"/>
  <c r="B106" i="38"/>
  <c r="B130" i="38" s="1"/>
  <c r="B149" i="38" s="1"/>
  <c r="B82" i="8"/>
  <c r="C82" i="8"/>
  <c r="G82" i="8"/>
  <c r="D82" i="8"/>
  <c r="F82" i="8"/>
  <c r="E82" i="8"/>
  <c r="G86" i="8"/>
  <c r="F86" i="8"/>
  <c r="E86" i="8"/>
  <c r="D86" i="8"/>
  <c r="C86" i="8"/>
  <c r="B110" i="38"/>
  <c r="B134" i="38" s="1"/>
  <c r="B86" i="8"/>
  <c r="B102" i="38"/>
  <c r="B126" i="38" s="1"/>
  <c r="B147" i="38" s="1"/>
  <c r="B78" i="8"/>
  <c r="G78" i="8"/>
  <c r="E78" i="8"/>
  <c r="F78" i="8"/>
  <c r="C78" i="8"/>
  <c r="D78" i="8"/>
  <c r="B65" i="38"/>
  <c r="B57" i="8"/>
  <c r="E57" i="8"/>
  <c r="G57" i="8"/>
  <c r="D57" i="8"/>
  <c r="C57" i="8"/>
  <c r="F57" i="8"/>
  <c r="B69" i="38"/>
  <c r="B61" i="8"/>
  <c r="C61" i="8"/>
  <c r="E61" i="8"/>
  <c r="D61" i="8"/>
  <c r="G61" i="8"/>
  <c r="F61" i="8"/>
  <c r="B71" i="38"/>
  <c r="B63" i="8"/>
  <c r="G63" i="8"/>
  <c r="D63" i="8"/>
  <c r="F63" i="8"/>
  <c r="E63" i="8"/>
  <c r="C63" i="8"/>
  <c r="B67" i="38"/>
  <c r="B59" i="8"/>
  <c r="G59" i="8"/>
  <c r="F59" i="8"/>
  <c r="D59" i="8"/>
  <c r="E59" i="8"/>
  <c r="C59" i="8"/>
  <c r="B7" i="38"/>
  <c r="B29" i="8"/>
  <c r="E29" i="8"/>
  <c r="C29" i="8"/>
  <c r="D29" i="8"/>
  <c r="F29" i="8"/>
  <c r="G29" i="8"/>
  <c r="B5" i="38"/>
  <c r="B27" i="8"/>
  <c r="D27" i="8"/>
  <c r="G27" i="8"/>
  <c r="F27" i="8"/>
  <c r="C27" i="8"/>
  <c r="E27" i="8"/>
  <c r="B26" i="38"/>
  <c r="B38" i="8"/>
  <c r="F38" i="8"/>
  <c r="C38" i="8"/>
  <c r="G38" i="8"/>
  <c r="D38" i="8"/>
  <c r="E38" i="8"/>
  <c r="B24" i="38"/>
  <c r="B36" i="8"/>
  <c r="F36" i="8"/>
  <c r="G36" i="8"/>
  <c r="D36" i="8"/>
  <c r="E36" i="8"/>
  <c r="B32" i="38"/>
  <c r="B44" i="8"/>
  <c r="G44" i="8"/>
  <c r="D44" i="8"/>
  <c r="E44" i="8"/>
  <c r="F44" i="8"/>
  <c r="C44" i="8"/>
  <c r="B36" i="38"/>
  <c r="B48" i="8"/>
  <c r="F48" i="8"/>
  <c r="G48" i="8"/>
  <c r="C48" i="8"/>
  <c r="D48" i="8"/>
  <c r="E48" i="8"/>
  <c r="B30" i="38"/>
  <c r="B42" i="8"/>
  <c r="E42" i="8"/>
  <c r="F42" i="8"/>
  <c r="D42" i="8"/>
  <c r="G42" i="8"/>
  <c r="C42" i="8"/>
  <c r="B34" i="38"/>
  <c r="B46" i="8"/>
  <c r="C46" i="8"/>
  <c r="E46" i="8"/>
  <c r="G46" i="8"/>
  <c r="F46" i="8"/>
  <c r="D46" i="8"/>
  <c r="B28" i="38"/>
  <c r="B40" i="8"/>
  <c r="C40" i="8"/>
  <c r="F40" i="8"/>
  <c r="E40" i="8"/>
  <c r="D40" i="8"/>
  <c r="G40" i="8"/>
  <c r="H38" i="27"/>
  <c r="E38" i="27"/>
  <c r="F38" i="27"/>
  <c r="G38" i="27"/>
  <c r="D38" i="27"/>
  <c r="I38" i="27"/>
  <c r="J38" i="27"/>
  <c r="K38" i="27"/>
  <c r="C38" i="27"/>
  <c r="I9" i="27"/>
  <c r="H9" i="27"/>
  <c r="G9" i="27"/>
  <c r="E9" i="27"/>
  <c r="F9" i="27"/>
  <c r="J9" i="27"/>
  <c r="D9" i="27"/>
  <c r="K9" i="27"/>
  <c r="D78" i="5"/>
  <c r="A77" i="5"/>
  <c r="B92" i="5"/>
  <c r="B86" i="5"/>
  <c r="B82" i="5"/>
  <c r="B96" i="5"/>
  <c r="B90" i="5"/>
  <c r="F78" i="5"/>
  <c r="B94" i="5"/>
  <c r="B80" i="5"/>
  <c r="E78" i="5"/>
  <c r="B88" i="5"/>
  <c r="B84" i="5"/>
  <c r="C78" i="5"/>
  <c r="A39" i="5"/>
  <c r="B52" i="5"/>
  <c r="B48" i="5"/>
  <c r="I4" i="5"/>
  <c r="B54" i="5"/>
  <c r="B46" i="5"/>
  <c r="B44" i="5"/>
  <c r="C40" i="5"/>
  <c r="B42" i="5"/>
  <c r="B50" i="5"/>
  <c r="F40" i="5"/>
  <c r="E40" i="5"/>
  <c r="D40" i="5"/>
  <c r="C191" i="38"/>
  <c r="C189" i="38"/>
  <c r="J91" i="5"/>
  <c r="B154" i="38" l="1"/>
  <c r="D154" i="38"/>
  <c r="N154" i="38"/>
  <c r="E154" i="38"/>
  <c r="F154" i="38"/>
  <c r="L154" i="38"/>
  <c r="H154" i="38"/>
  <c r="I154" i="38"/>
  <c r="J154" i="38"/>
  <c r="K154" i="38"/>
  <c r="C154" i="38"/>
  <c r="G154" i="38"/>
  <c r="M154" i="38"/>
  <c r="O154" i="38"/>
  <c r="M8" i="38"/>
  <c r="B17" i="38"/>
  <c r="B15" i="38"/>
  <c r="R5" i="38"/>
  <c r="B110" i="14"/>
  <c r="R110" i="38"/>
  <c r="S110" i="38" s="1"/>
  <c r="B111" i="38"/>
  <c r="B135" i="38" s="1"/>
  <c r="O111" i="38"/>
  <c r="G111" i="38"/>
  <c r="D111" i="38"/>
  <c r="K111" i="38"/>
  <c r="H111" i="38"/>
  <c r="L111" i="38"/>
  <c r="F111" i="38"/>
  <c r="E111" i="38"/>
  <c r="J111" i="38"/>
  <c r="M111" i="38"/>
  <c r="N111" i="38"/>
  <c r="C111" i="38"/>
  <c r="I111" i="38"/>
  <c r="B94" i="14"/>
  <c r="R94" i="38"/>
  <c r="S94" i="38" s="1"/>
  <c r="B95" i="38"/>
  <c r="B119" i="38" s="1"/>
  <c r="B142" i="38" s="1"/>
  <c r="M95" i="38"/>
  <c r="C95" i="38"/>
  <c r="I95" i="38"/>
  <c r="J95" i="38"/>
  <c r="K95" i="38"/>
  <c r="D95" i="38"/>
  <c r="H95" i="38"/>
  <c r="F95" i="38"/>
  <c r="O95" i="38"/>
  <c r="L95" i="38"/>
  <c r="G95" i="38"/>
  <c r="E95" i="38"/>
  <c r="N95" i="38"/>
  <c r="B100" i="14"/>
  <c r="U100" i="14" s="1"/>
  <c r="R100" i="38"/>
  <c r="B101" i="38"/>
  <c r="B125" i="38" s="1"/>
  <c r="B146" i="38" s="1"/>
  <c r="N101" i="38"/>
  <c r="M101" i="38"/>
  <c r="E101" i="38"/>
  <c r="O101" i="38"/>
  <c r="C101" i="38"/>
  <c r="G101" i="38"/>
  <c r="I101" i="38"/>
  <c r="D101" i="38"/>
  <c r="K101" i="38"/>
  <c r="L101" i="38"/>
  <c r="J101" i="38"/>
  <c r="F101" i="38"/>
  <c r="H101" i="38"/>
  <c r="B104" i="14"/>
  <c r="B105" i="38"/>
  <c r="B129" i="38" s="1"/>
  <c r="R104" i="38"/>
  <c r="I105" i="38"/>
  <c r="K105" i="38"/>
  <c r="M105" i="38"/>
  <c r="O105" i="38"/>
  <c r="L105" i="38"/>
  <c r="E105" i="38"/>
  <c r="J105" i="38"/>
  <c r="D105" i="38"/>
  <c r="N105" i="38"/>
  <c r="H105" i="38"/>
  <c r="C105" i="38"/>
  <c r="F105" i="38"/>
  <c r="G105" i="38"/>
  <c r="B6" i="38"/>
  <c r="B16" i="38" s="1"/>
  <c r="C6" i="38"/>
  <c r="M6" i="38"/>
  <c r="F6" i="38"/>
  <c r="B106" i="14"/>
  <c r="R106" i="38"/>
  <c r="S106" i="38" s="1"/>
  <c r="B107" i="38"/>
  <c r="B131" i="38" s="1"/>
  <c r="B150" i="38" s="1"/>
  <c r="G107" i="38"/>
  <c r="N107" i="38"/>
  <c r="K107" i="38"/>
  <c r="L107" i="38"/>
  <c r="M107" i="38"/>
  <c r="O107" i="38"/>
  <c r="I107" i="38"/>
  <c r="F107" i="38"/>
  <c r="D107" i="38"/>
  <c r="J107" i="38"/>
  <c r="E107" i="38"/>
  <c r="C107" i="38"/>
  <c r="H107" i="38"/>
  <c r="B108" i="14"/>
  <c r="R108" i="38"/>
  <c r="S108" i="38" s="1"/>
  <c r="B109" i="38"/>
  <c r="B133" i="38" s="1"/>
  <c r="B152" i="38" s="1"/>
  <c r="N109" i="38"/>
  <c r="O109" i="38"/>
  <c r="D109" i="38"/>
  <c r="L109" i="38"/>
  <c r="E109" i="38"/>
  <c r="H109" i="38"/>
  <c r="I109" i="38"/>
  <c r="C109" i="38"/>
  <c r="J109" i="38"/>
  <c r="M109" i="38"/>
  <c r="F109" i="38"/>
  <c r="G109" i="38"/>
  <c r="K109" i="38"/>
  <c r="B102" i="14"/>
  <c r="B103" i="38"/>
  <c r="B127" i="38" s="1"/>
  <c r="B148" i="38" s="1"/>
  <c r="R102" i="38"/>
  <c r="S102" i="38" s="1"/>
  <c r="M103" i="38"/>
  <c r="O103" i="38"/>
  <c r="E103" i="38"/>
  <c r="F103" i="38"/>
  <c r="I103" i="38"/>
  <c r="N103" i="38"/>
  <c r="G103" i="38"/>
  <c r="D103" i="38"/>
  <c r="K103" i="38"/>
  <c r="J103" i="38"/>
  <c r="H103" i="38"/>
  <c r="C103" i="38"/>
  <c r="L103" i="38"/>
  <c r="B98" i="14"/>
  <c r="B99" i="38"/>
  <c r="B123" i="38" s="1"/>
  <c r="B144" i="38" s="1"/>
  <c r="R98" i="38"/>
  <c r="S98" i="38" s="1"/>
  <c r="O99" i="38"/>
  <c r="L99" i="38"/>
  <c r="J99" i="38"/>
  <c r="I99" i="38"/>
  <c r="N99" i="38"/>
  <c r="H99" i="38"/>
  <c r="E99" i="38"/>
  <c r="C99" i="38"/>
  <c r="M99" i="38"/>
  <c r="G99" i="38"/>
  <c r="K99" i="38"/>
  <c r="D99" i="38"/>
  <c r="F99" i="38"/>
  <c r="B67" i="14"/>
  <c r="R67" i="38"/>
  <c r="B68" i="38"/>
  <c r="B84" i="38" s="1"/>
  <c r="B83" i="38"/>
  <c r="L68" i="38"/>
  <c r="J68" i="38"/>
  <c r="G68" i="38"/>
  <c r="N68" i="38"/>
  <c r="C68" i="38"/>
  <c r="O68" i="38"/>
  <c r="E68" i="38"/>
  <c r="H68" i="38"/>
  <c r="I68" i="38"/>
  <c r="K68" i="38"/>
  <c r="D68" i="38"/>
  <c r="M68" i="38"/>
  <c r="F68" i="38"/>
  <c r="B71" i="14"/>
  <c r="R71" i="38"/>
  <c r="B87" i="38"/>
  <c r="L72" i="38"/>
  <c r="K72" i="38"/>
  <c r="J72" i="38"/>
  <c r="O72" i="38"/>
  <c r="M72" i="38"/>
  <c r="D72" i="38"/>
  <c r="E72" i="38"/>
  <c r="F72" i="38"/>
  <c r="H72" i="38"/>
  <c r="N72" i="38"/>
  <c r="I72" i="38"/>
  <c r="G72" i="38"/>
  <c r="C72" i="38"/>
  <c r="B72" i="38"/>
  <c r="B88" i="38" s="1"/>
  <c r="B69" i="14"/>
  <c r="R69" i="38"/>
  <c r="B85" i="38"/>
  <c r="B70" i="38"/>
  <c r="B86" i="38" s="1"/>
  <c r="L70" i="38"/>
  <c r="N70" i="38"/>
  <c r="D70" i="38"/>
  <c r="J70" i="38"/>
  <c r="E70" i="38"/>
  <c r="I70" i="38"/>
  <c r="M70" i="38"/>
  <c r="G70" i="38"/>
  <c r="O70" i="38"/>
  <c r="F70" i="38"/>
  <c r="C70" i="38"/>
  <c r="H70" i="38"/>
  <c r="K70" i="38"/>
  <c r="B65" i="14"/>
  <c r="R65" i="38"/>
  <c r="B66" i="38"/>
  <c r="B82" i="38" s="1"/>
  <c r="B81" i="38"/>
  <c r="L66" i="38"/>
  <c r="J66" i="38"/>
  <c r="K66" i="38"/>
  <c r="N66" i="38"/>
  <c r="C66" i="38"/>
  <c r="E66" i="38"/>
  <c r="G66" i="38"/>
  <c r="I66" i="38"/>
  <c r="O66" i="38"/>
  <c r="F66" i="38"/>
  <c r="M66" i="38"/>
  <c r="D66" i="38"/>
  <c r="H66" i="38"/>
  <c r="B5" i="14"/>
  <c r="T5" i="14" s="1"/>
  <c r="I6" i="38"/>
  <c r="O6" i="38"/>
  <c r="E6" i="38"/>
  <c r="D6" i="38"/>
  <c r="H6" i="38"/>
  <c r="K6" i="38"/>
  <c r="J6" i="38"/>
  <c r="L6" i="38"/>
  <c r="N6" i="38"/>
  <c r="G6" i="38"/>
  <c r="B7" i="14"/>
  <c r="T7" i="14" s="1"/>
  <c r="R7" i="38"/>
  <c r="N8" i="38"/>
  <c r="J8" i="38"/>
  <c r="C8" i="38"/>
  <c r="G8" i="38"/>
  <c r="E8" i="38"/>
  <c r="K8" i="38"/>
  <c r="I8" i="38"/>
  <c r="O8" i="38"/>
  <c r="D8" i="38"/>
  <c r="L8" i="38"/>
  <c r="F8" i="38"/>
  <c r="H8" i="38"/>
  <c r="B8" i="38"/>
  <c r="B18" i="38" s="1"/>
  <c r="B28" i="14"/>
  <c r="B29" i="38"/>
  <c r="B49" i="38" s="1"/>
  <c r="B48" i="38"/>
  <c r="R28" i="38"/>
  <c r="M29" i="38"/>
  <c r="O29" i="38"/>
  <c r="I29" i="38"/>
  <c r="J29" i="38"/>
  <c r="C29" i="38"/>
  <c r="K29" i="38"/>
  <c r="F29" i="38"/>
  <c r="D29" i="38"/>
  <c r="N29" i="38"/>
  <c r="H29" i="38"/>
  <c r="L29" i="38"/>
  <c r="G29" i="38"/>
  <c r="E29" i="38"/>
  <c r="B34" i="14"/>
  <c r="B35" i="38"/>
  <c r="B55" i="38" s="1"/>
  <c r="R34" i="38"/>
  <c r="B54" i="38"/>
  <c r="N35" i="38"/>
  <c r="E35" i="38"/>
  <c r="D35" i="38"/>
  <c r="I35" i="38"/>
  <c r="L35" i="38"/>
  <c r="M35" i="38"/>
  <c r="K35" i="38"/>
  <c r="G35" i="38"/>
  <c r="F35" i="38"/>
  <c r="C35" i="38"/>
  <c r="O35" i="38"/>
  <c r="J35" i="38"/>
  <c r="H35" i="38"/>
  <c r="B30" i="14"/>
  <c r="R30" i="38"/>
  <c r="B50" i="38"/>
  <c r="B31" i="38"/>
  <c r="B51" i="38" s="1"/>
  <c r="O31" i="38"/>
  <c r="M31" i="38"/>
  <c r="D31" i="38"/>
  <c r="F31" i="38"/>
  <c r="H31" i="38"/>
  <c r="N31" i="38"/>
  <c r="L31" i="38"/>
  <c r="J31" i="38"/>
  <c r="E31" i="38"/>
  <c r="C31" i="38"/>
  <c r="I31" i="38"/>
  <c r="G31" i="38"/>
  <c r="K31" i="38"/>
  <c r="B36" i="14"/>
  <c r="R36" i="38"/>
  <c r="B56" i="38"/>
  <c r="M37" i="38"/>
  <c r="J37" i="38"/>
  <c r="E37" i="38"/>
  <c r="C37" i="38"/>
  <c r="I37" i="38"/>
  <c r="K37" i="38"/>
  <c r="F37" i="38"/>
  <c r="N37" i="38"/>
  <c r="D37" i="38"/>
  <c r="G37" i="38"/>
  <c r="H37" i="38"/>
  <c r="O37" i="38"/>
  <c r="L37" i="38"/>
  <c r="B37" i="38"/>
  <c r="B57" i="38" s="1"/>
  <c r="B32" i="14"/>
  <c r="R32" i="38"/>
  <c r="B52" i="38"/>
  <c r="B33" i="38"/>
  <c r="B53" i="38" s="1"/>
  <c r="O33" i="38"/>
  <c r="L33" i="38"/>
  <c r="I33" i="38"/>
  <c r="J33" i="38"/>
  <c r="D33" i="38"/>
  <c r="N33" i="38"/>
  <c r="M33" i="38"/>
  <c r="C33" i="38"/>
  <c r="E33" i="38"/>
  <c r="G33" i="38"/>
  <c r="K33" i="38"/>
  <c r="H33" i="38"/>
  <c r="F33" i="38"/>
  <c r="B24" i="14"/>
  <c r="R24" i="38"/>
  <c r="B44" i="38"/>
  <c r="B25" i="38"/>
  <c r="B45" i="38" s="1"/>
  <c r="J25" i="38"/>
  <c r="F25" i="38"/>
  <c r="N25" i="38"/>
  <c r="C25" i="38"/>
  <c r="D25" i="38"/>
  <c r="K25" i="38"/>
  <c r="H25" i="38"/>
  <c r="L25" i="38"/>
  <c r="G25" i="38"/>
  <c r="E25" i="38"/>
  <c r="O25" i="38"/>
  <c r="I25" i="38"/>
  <c r="M25" i="38"/>
  <c r="B26" i="14"/>
  <c r="B27" i="38"/>
  <c r="B47" i="38" s="1"/>
  <c r="R26" i="38"/>
  <c r="B46" i="38"/>
  <c r="O27" i="38"/>
  <c r="G27" i="38"/>
  <c r="E27" i="38"/>
  <c r="K27" i="38"/>
  <c r="I27" i="38"/>
  <c r="M27" i="38"/>
  <c r="H27" i="38"/>
  <c r="F27" i="38"/>
  <c r="J27" i="38"/>
  <c r="D27" i="38"/>
  <c r="N27" i="38"/>
  <c r="L27" i="38"/>
  <c r="C27" i="38"/>
  <c r="A64" i="25"/>
  <c r="A62" i="25"/>
  <c r="A60" i="25"/>
  <c r="A49" i="25"/>
  <c r="A53" i="25"/>
  <c r="A51" i="25"/>
  <c r="S100" i="38" l="1"/>
  <c r="B122" i="14"/>
  <c r="B99" i="14"/>
  <c r="B123" i="14" s="1"/>
  <c r="P99" i="14"/>
  <c r="C99" i="14"/>
  <c r="J99" i="14"/>
  <c r="I99" i="14"/>
  <c r="G99" i="14"/>
  <c r="N99" i="14"/>
  <c r="M99" i="14"/>
  <c r="E99" i="14"/>
  <c r="D99" i="14"/>
  <c r="O99" i="14"/>
  <c r="H99" i="14"/>
  <c r="F99" i="14"/>
  <c r="L99" i="14"/>
  <c r="K99" i="14"/>
  <c r="Q99" i="14"/>
  <c r="B103" i="14"/>
  <c r="B127" i="14" s="1"/>
  <c r="B126" i="14"/>
  <c r="O103" i="14"/>
  <c r="I103" i="14"/>
  <c r="K103" i="14"/>
  <c r="Q103" i="14"/>
  <c r="F103" i="14"/>
  <c r="D103" i="14"/>
  <c r="J103" i="14"/>
  <c r="E103" i="14"/>
  <c r="H103" i="14"/>
  <c r="N103" i="14"/>
  <c r="L103" i="14"/>
  <c r="C103" i="14"/>
  <c r="P103" i="14"/>
  <c r="G103" i="14"/>
  <c r="B109" i="14"/>
  <c r="B133" i="14" s="1"/>
  <c r="B132" i="14"/>
  <c r="O109" i="14"/>
  <c r="E109" i="14"/>
  <c r="P109" i="14"/>
  <c r="I109" i="14"/>
  <c r="Q109" i="14"/>
  <c r="J109" i="14"/>
  <c r="F109" i="14"/>
  <c r="D109" i="14"/>
  <c r="N109" i="14"/>
  <c r="H109" i="14"/>
  <c r="C109" i="14"/>
  <c r="K109" i="14"/>
  <c r="L109" i="14"/>
  <c r="G109" i="14"/>
  <c r="B130" i="14"/>
  <c r="B107" i="14"/>
  <c r="B131" i="14" s="1"/>
  <c r="O107" i="14"/>
  <c r="E107" i="14"/>
  <c r="K107" i="14"/>
  <c r="I107" i="14"/>
  <c r="G107" i="14"/>
  <c r="H107" i="14"/>
  <c r="Q107" i="14"/>
  <c r="L107" i="14"/>
  <c r="F107" i="14"/>
  <c r="P107" i="14"/>
  <c r="J107" i="14"/>
  <c r="D107" i="14"/>
  <c r="N107" i="14"/>
  <c r="C107" i="14"/>
  <c r="R111" i="38"/>
  <c r="S111" i="38" s="1"/>
  <c r="S104" i="38"/>
  <c r="T111" i="14"/>
  <c r="B105" i="14"/>
  <c r="B129" i="14" s="1"/>
  <c r="B128" i="14"/>
  <c r="J105" i="14"/>
  <c r="Q105" i="14"/>
  <c r="P105" i="14"/>
  <c r="F105" i="14"/>
  <c r="C105" i="14"/>
  <c r="E105" i="14"/>
  <c r="G105" i="14"/>
  <c r="I105" i="14"/>
  <c r="L105" i="14"/>
  <c r="K105" i="14"/>
  <c r="N105" i="14"/>
  <c r="O105" i="14"/>
  <c r="D105" i="14"/>
  <c r="H105" i="14"/>
  <c r="M101" i="14"/>
  <c r="C101" i="14"/>
  <c r="B101" i="14"/>
  <c r="B125" i="14" s="1"/>
  <c r="B124" i="14"/>
  <c r="O101" i="14"/>
  <c r="F101" i="14"/>
  <c r="J101" i="14"/>
  <c r="N101" i="14"/>
  <c r="H101" i="14"/>
  <c r="E101" i="14"/>
  <c r="L101" i="14"/>
  <c r="I101" i="14"/>
  <c r="K101" i="14"/>
  <c r="P101" i="14"/>
  <c r="Q101" i="14"/>
  <c r="D101" i="14"/>
  <c r="G101" i="14"/>
  <c r="B95" i="14"/>
  <c r="B119" i="14" s="1"/>
  <c r="B118" i="14"/>
  <c r="P95" i="14"/>
  <c r="F95" i="14"/>
  <c r="H95" i="14"/>
  <c r="J95" i="14"/>
  <c r="L95" i="14"/>
  <c r="I95" i="14"/>
  <c r="N95" i="14"/>
  <c r="D95" i="14"/>
  <c r="C95" i="14"/>
  <c r="M95" i="14"/>
  <c r="G95" i="14"/>
  <c r="Q95" i="14"/>
  <c r="K95" i="14"/>
  <c r="E95" i="14"/>
  <c r="O95" i="14"/>
  <c r="B134" i="14"/>
  <c r="Q111" i="14"/>
  <c r="F111" i="14"/>
  <c r="P111" i="14"/>
  <c r="C111" i="14"/>
  <c r="E111" i="14"/>
  <c r="G111" i="14"/>
  <c r="I111" i="14"/>
  <c r="K111" i="14"/>
  <c r="O111" i="14"/>
  <c r="J111" i="14"/>
  <c r="D111" i="14"/>
  <c r="N111" i="14"/>
  <c r="H111" i="14"/>
  <c r="L111" i="14"/>
  <c r="B111" i="14"/>
  <c r="B67" i="17"/>
  <c r="R67" i="17" s="1"/>
  <c r="B81" i="14"/>
  <c r="B66" i="14"/>
  <c r="B82" i="14" s="1"/>
  <c r="D66" i="14"/>
  <c r="O66" i="14"/>
  <c r="C66" i="14"/>
  <c r="J66" i="14"/>
  <c r="G66" i="14"/>
  <c r="M66" i="14"/>
  <c r="H66" i="14"/>
  <c r="I66" i="14"/>
  <c r="F66" i="14"/>
  <c r="E66" i="14"/>
  <c r="P66" i="14"/>
  <c r="L66" i="14"/>
  <c r="K66" i="14"/>
  <c r="N66" i="14"/>
  <c r="Q66" i="14"/>
  <c r="B71" i="17"/>
  <c r="B85" i="14"/>
  <c r="B70" i="14"/>
  <c r="B86" i="14" s="1"/>
  <c r="D70" i="14"/>
  <c r="E70" i="14"/>
  <c r="H70" i="14"/>
  <c r="N70" i="14"/>
  <c r="J70" i="14"/>
  <c r="M70" i="14"/>
  <c r="I70" i="14"/>
  <c r="G70" i="14"/>
  <c r="C70" i="14"/>
  <c r="P70" i="14"/>
  <c r="K70" i="14"/>
  <c r="F70" i="14"/>
  <c r="L70" i="14"/>
  <c r="O70" i="14"/>
  <c r="Q70" i="14"/>
  <c r="B73" i="17"/>
  <c r="B87" i="14"/>
  <c r="D72" i="14"/>
  <c r="F72" i="14"/>
  <c r="J72" i="14"/>
  <c r="C72" i="14"/>
  <c r="E72" i="14"/>
  <c r="M72" i="14"/>
  <c r="L72" i="14"/>
  <c r="H72" i="14"/>
  <c r="K72" i="14"/>
  <c r="P72" i="14"/>
  <c r="I72" i="14"/>
  <c r="O72" i="14"/>
  <c r="N72" i="14"/>
  <c r="G72" i="14"/>
  <c r="B72" i="14"/>
  <c r="B88" i="14" s="1"/>
  <c r="Q72" i="14"/>
  <c r="B69" i="17"/>
  <c r="B68" i="14"/>
  <c r="B84" i="14" s="1"/>
  <c r="B83" i="14"/>
  <c r="D68" i="14"/>
  <c r="I68" i="14"/>
  <c r="L68" i="14"/>
  <c r="K68" i="14"/>
  <c r="P68" i="14"/>
  <c r="F68" i="14"/>
  <c r="O68" i="14"/>
  <c r="H68" i="14"/>
  <c r="M68" i="14"/>
  <c r="J68" i="14"/>
  <c r="G68" i="14"/>
  <c r="E68" i="14"/>
  <c r="N68" i="14"/>
  <c r="C68" i="14"/>
  <c r="Q68" i="14"/>
  <c r="B7" i="17"/>
  <c r="B17" i="14"/>
  <c r="G8" i="14"/>
  <c r="I8" i="14"/>
  <c r="K8" i="14"/>
  <c r="M8" i="14"/>
  <c r="O8" i="14"/>
  <c r="Q8" i="14"/>
  <c r="D8" i="14"/>
  <c r="J8" i="14"/>
  <c r="C8" i="14"/>
  <c r="H8" i="14"/>
  <c r="N8" i="14"/>
  <c r="E8" i="14"/>
  <c r="L8" i="14"/>
  <c r="F8" i="14"/>
  <c r="P8" i="14"/>
  <c r="B8" i="14"/>
  <c r="B18" i="14" s="1"/>
  <c r="B5" i="17"/>
  <c r="B6" i="14"/>
  <c r="B16" i="14" s="1"/>
  <c r="B15" i="14"/>
  <c r="K6" i="14"/>
  <c r="Q6" i="14"/>
  <c r="P6" i="14"/>
  <c r="F6" i="14"/>
  <c r="D6" i="14"/>
  <c r="M6" i="14"/>
  <c r="C6" i="14"/>
  <c r="J6" i="14"/>
  <c r="L6" i="14"/>
  <c r="N6" i="14"/>
  <c r="H6" i="14"/>
  <c r="G6" i="14"/>
  <c r="E6" i="14"/>
  <c r="O6" i="14"/>
  <c r="I6" i="14"/>
  <c r="B27" i="17"/>
  <c r="B46" i="14"/>
  <c r="B27" i="14"/>
  <c r="B47" i="14" s="1"/>
  <c r="Q27" i="14"/>
  <c r="G27" i="14"/>
  <c r="E27" i="14"/>
  <c r="K27" i="14"/>
  <c r="I27" i="14"/>
  <c r="O27" i="14"/>
  <c r="M27" i="14"/>
  <c r="D27" i="14"/>
  <c r="F27" i="14"/>
  <c r="H27" i="14"/>
  <c r="J27" i="14"/>
  <c r="L27" i="14"/>
  <c r="N27" i="14"/>
  <c r="P27" i="14"/>
  <c r="C27" i="14"/>
  <c r="B25" i="17"/>
  <c r="B44" i="14"/>
  <c r="B25" i="14"/>
  <c r="B45" i="14" s="1"/>
  <c r="G25" i="14"/>
  <c r="I25" i="14"/>
  <c r="K25" i="14"/>
  <c r="M25" i="14"/>
  <c r="O25" i="14"/>
  <c r="Q25" i="14"/>
  <c r="D25" i="14"/>
  <c r="F25" i="14"/>
  <c r="H25" i="14"/>
  <c r="J25" i="14"/>
  <c r="L25" i="14"/>
  <c r="N25" i="14"/>
  <c r="P25" i="14"/>
  <c r="C25" i="14"/>
  <c r="E25" i="14"/>
  <c r="B33" i="17"/>
  <c r="R33" i="17" s="1"/>
  <c r="B52" i="14"/>
  <c r="B33" i="14"/>
  <c r="B53" i="14" s="1"/>
  <c r="O33" i="14"/>
  <c r="H33" i="14"/>
  <c r="J33" i="14"/>
  <c r="L33" i="14"/>
  <c r="N33" i="14"/>
  <c r="P33" i="14"/>
  <c r="C33" i="14"/>
  <c r="E33" i="14"/>
  <c r="G33" i="14"/>
  <c r="I33" i="14"/>
  <c r="K33" i="14"/>
  <c r="M33" i="14"/>
  <c r="Q33" i="14"/>
  <c r="D33" i="14"/>
  <c r="F33" i="14"/>
  <c r="B31" i="17"/>
  <c r="B50" i="14"/>
  <c r="B31" i="14"/>
  <c r="B51" i="14" s="1"/>
  <c r="P31" i="14"/>
  <c r="I31" i="14"/>
  <c r="D31" i="14"/>
  <c r="J31" i="14"/>
  <c r="H31" i="14"/>
  <c r="E31" i="14"/>
  <c r="L31" i="14"/>
  <c r="M31" i="14"/>
  <c r="C31" i="14"/>
  <c r="N31" i="14"/>
  <c r="G31" i="14"/>
  <c r="F31" i="14"/>
  <c r="K31" i="14"/>
  <c r="Q31" i="14"/>
  <c r="O31" i="14"/>
  <c r="B35" i="17"/>
  <c r="B54" i="14"/>
  <c r="B35" i="14"/>
  <c r="B55" i="14" s="1"/>
  <c r="O35" i="14"/>
  <c r="Q35" i="14"/>
  <c r="H35" i="14"/>
  <c r="F35" i="14"/>
  <c r="L35" i="14"/>
  <c r="J35" i="14"/>
  <c r="P35" i="14"/>
  <c r="N35" i="14"/>
  <c r="D35" i="14"/>
  <c r="C35" i="14"/>
  <c r="E35" i="14"/>
  <c r="G35" i="14"/>
  <c r="I35" i="14"/>
  <c r="K35" i="14"/>
  <c r="M35" i="14"/>
  <c r="B37" i="17"/>
  <c r="B56" i="14"/>
  <c r="O37" i="14"/>
  <c r="Q37" i="14"/>
  <c r="K37" i="14"/>
  <c r="D37" i="14"/>
  <c r="L37" i="14"/>
  <c r="H37" i="14"/>
  <c r="F37" i="14"/>
  <c r="M37" i="14"/>
  <c r="J37" i="14"/>
  <c r="E37" i="14"/>
  <c r="N37" i="14"/>
  <c r="P37" i="14"/>
  <c r="C37" i="14"/>
  <c r="I37" i="14"/>
  <c r="G37" i="14"/>
  <c r="B37" i="14"/>
  <c r="B57" i="14" s="1"/>
  <c r="B29" i="17"/>
  <c r="B48" i="14"/>
  <c r="B29" i="14"/>
  <c r="B49" i="14" s="1"/>
  <c r="Q29" i="14"/>
  <c r="D29" i="14"/>
  <c r="M29" i="14"/>
  <c r="H29" i="14"/>
  <c r="L29" i="14"/>
  <c r="C29" i="14"/>
  <c r="P29" i="14"/>
  <c r="G29" i="14"/>
  <c r="J29" i="14"/>
  <c r="K29" i="14"/>
  <c r="N29" i="14"/>
  <c r="O29" i="14"/>
  <c r="E29" i="14"/>
  <c r="F29" i="14"/>
  <c r="I29" i="14"/>
  <c r="A71" i="23"/>
  <c r="A69" i="23"/>
  <c r="A67" i="23"/>
  <c r="A65" i="23"/>
  <c r="A63" i="23"/>
  <c r="A36" i="23"/>
  <c r="A34" i="23"/>
  <c r="A32" i="23"/>
  <c r="A30" i="23"/>
  <c r="A28" i="23"/>
  <c r="A26" i="23"/>
  <c r="A24" i="23"/>
  <c r="A71" i="21"/>
  <c r="A69" i="21"/>
  <c r="A67" i="21"/>
  <c r="A65" i="21"/>
  <c r="A63" i="21"/>
  <c r="A36" i="21"/>
  <c r="A34" i="21"/>
  <c r="A32" i="21"/>
  <c r="A30" i="21"/>
  <c r="A28" i="21"/>
  <c r="A26" i="21"/>
  <c r="A24" i="21"/>
  <c r="B38" i="19" l="1"/>
  <c r="H39" i="19" s="1"/>
  <c r="R69" i="17"/>
  <c r="B70" i="17"/>
  <c r="B86" i="17" s="1"/>
  <c r="B85" i="17"/>
  <c r="B40" i="19"/>
  <c r="H41" i="19" s="1"/>
  <c r="B87" i="17"/>
  <c r="B72" i="17"/>
  <c r="B88" i="17" s="1"/>
  <c r="B42" i="19"/>
  <c r="H43" i="19" s="1"/>
  <c r="B89" i="17"/>
  <c r="B74" i="17"/>
  <c r="B90" i="17" s="1"/>
  <c r="B36" i="19"/>
  <c r="H37" i="19" s="1"/>
  <c r="B68" i="17"/>
  <c r="B84" i="17" s="1"/>
  <c r="B83" i="17"/>
  <c r="B5" i="19"/>
  <c r="B5" i="25" s="1"/>
  <c r="F6" i="25" s="1"/>
  <c r="R5" i="17"/>
  <c r="B6" i="17"/>
  <c r="B16" i="17" s="1"/>
  <c r="B15" i="17"/>
  <c r="B7" i="19"/>
  <c r="R7" i="17"/>
  <c r="B17" i="17"/>
  <c r="B21" i="19"/>
  <c r="B51" i="17"/>
  <c r="B32" i="17"/>
  <c r="B52" i="17" s="1"/>
  <c r="B23" i="19"/>
  <c r="B53" i="17"/>
  <c r="B34" i="17"/>
  <c r="B54" i="17" s="1"/>
  <c r="B27" i="19"/>
  <c r="R37" i="17"/>
  <c r="B57" i="17"/>
  <c r="B15" i="19"/>
  <c r="B45" i="17"/>
  <c r="B26" i="17"/>
  <c r="B46" i="17" s="1"/>
  <c r="B19" i="19"/>
  <c r="B49" i="17"/>
  <c r="B30" i="17"/>
  <c r="B50" i="17" s="1"/>
  <c r="B25" i="19"/>
  <c r="R35" i="17"/>
  <c r="B55" i="17"/>
  <c r="B36" i="17"/>
  <c r="B56" i="17" s="1"/>
  <c r="B17" i="19"/>
  <c r="B47" i="17"/>
  <c r="B28" i="17"/>
  <c r="B48" i="17" s="1"/>
  <c r="A190" i="14"/>
  <c r="A191" i="14"/>
  <c r="A192" i="14"/>
  <c r="A189" i="14"/>
  <c r="C138" i="38"/>
  <c r="D138" i="38"/>
  <c r="E138" i="38"/>
  <c r="F138" i="38"/>
  <c r="G138" i="38"/>
  <c r="H138" i="38"/>
  <c r="I138" i="38"/>
  <c r="J138" i="38"/>
  <c r="K138" i="38"/>
  <c r="L138" i="38"/>
  <c r="M138" i="38"/>
  <c r="N138" i="38"/>
  <c r="O138" i="38"/>
  <c r="B40" i="25" l="1"/>
  <c r="F41" i="19"/>
  <c r="E41" i="19"/>
  <c r="C41" i="19"/>
  <c r="G41" i="19"/>
  <c r="D41" i="19"/>
  <c r="B41" i="19"/>
  <c r="B36" i="25"/>
  <c r="F37" i="19"/>
  <c r="B37" i="19"/>
  <c r="D37" i="19"/>
  <c r="G37" i="19"/>
  <c r="C37" i="19"/>
  <c r="E37" i="19"/>
  <c r="B42" i="25"/>
  <c r="G43" i="19"/>
  <c r="C43" i="19"/>
  <c r="F43" i="19"/>
  <c r="D43" i="19"/>
  <c r="E43" i="19"/>
  <c r="B43" i="19"/>
  <c r="B38" i="25"/>
  <c r="F39" i="19"/>
  <c r="E39" i="19"/>
  <c r="G39" i="19"/>
  <c r="D39" i="19"/>
  <c r="C39" i="19"/>
  <c r="B39" i="19"/>
  <c r="B7" i="25"/>
  <c r="F8" i="25" s="1"/>
  <c r="H8" i="19"/>
  <c r="C8" i="19"/>
  <c r="G8" i="19"/>
  <c r="E8" i="19"/>
  <c r="D8" i="19"/>
  <c r="F8" i="19"/>
  <c r="B17" i="25"/>
  <c r="E18" i="19"/>
  <c r="F18" i="19"/>
  <c r="G18" i="19"/>
  <c r="D18" i="19"/>
  <c r="H18" i="19"/>
  <c r="C18" i="19"/>
  <c r="B18" i="19"/>
  <c r="B19" i="25"/>
  <c r="H20" i="19"/>
  <c r="F20" i="19"/>
  <c r="C20" i="19"/>
  <c r="D20" i="19"/>
  <c r="G20" i="19"/>
  <c r="E20" i="19"/>
  <c r="B20" i="19"/>
  <c r="B23" i="25"/>
  <c r="F24" i="19"/>
  <c r="H24" i="19"/>
  <c r="E24" i="19"/>
  <c r="C24" i="19"/>
  <c r="G24" i="19"/>
  <c r="D24" i="19"/>
  <c r="B24" i="19"/>
  <c r="B15" i="25"/>
  <c r="G16" i="19"/>
  <c r="C16" i="19"/>
  <c r="D16" i="19"/>
  <c r="H16" i="19"/>
  <c r="E16" i="19"/>
  <c r="F16" i="19"/>
  <c r="B16" i="19"/>
  <c r="B25" i="25"/>
  <c r="F26" i="19"/>
  <c r="G26" i="19"/>
  <c r="D26" i="19"/>
  <c r="H26" i="19"/>
  <c r="E26" i="19"/>
  <c r="C26" i="19"/>
  <c r="B26" i="19"/>
  <c r="B27" i="25"/>
  <c r="H28" i="19"/>
  <c r="G28" i="19"/>
  <c r="C28" i="19"/>
  <c r="E28" i="19"/>
  <c r="F28" i="19"/>
  <c r="D28" i="19"/>
  <c r="B28" i="19"/>
  <c r="B21" i="25"/>
  <c r="F22" i="19"/>
  <c r="H22" i="19"/>
  <c r="C22" i="19"/>
  <c r="D22" i="19"/>
  <c r="G22" i="19"/>
  <c r="E22" i="19"/>
  <c r="B22" i="19"/>
  <c r="A168" i="38"/>
  <c r="A168" i="14" s="1"/>
  <c r="A166" i="38"/>
  <c r="A166" i="14" s="1"/>
  <c r="A164" i="38"/>
  <c r="A164" i="14" s="1"/>
  <c r="A162" i="38"/>
  <c r="A162" i="14" s="1"/>
  <c r="A160" i="38"/>
  <c r="A160" i="14" s="1"/>
  <c r="D39" i="25" l="1"/>
  <c r="E39" i="25"/>
  <c r="F39" i="25"/>
  <c r="C39" i="25"/>
  <c r="B39" i="25"/>
  <c r="F43" i="25"/>
  <c r="D43" i="25"/>
  <c r="E43" i="25"/>
  <c r="C43" i="25"/>
  <c r="B43" i="25"/>
  <c r="C37" i="25"/>
  <c r="F37" i="25"/>
  <c r="D37" i="25"/>
  <c r="E37" i="25"/>
  <c r="B37" i="25"/>
  <c r="F41" i="25"/>
  <c r="C41" i="25"/>
  <c r="D41" i="25"/>
  <c r="E41" i="25"/>
  <c r="B41" i="25"/>
  <c r="C8" i="25"/>
  <c r="D8" i="25"/>
  <c r="E8" i="25"/>
  <c r="D26" i="25"/>
  <c r="E26" i="25"/>
  <c r="C26" i="25"/>
  <c r="F26" i="25"/>
  <c r="B26" i="25"/>
  <c r="D16" i="25"/>
  <c r="E16" i="25"/>
  <c r="F16" i="25"/>
  <c r="C16" i="25"/>
  <c r="B16" i="25"/>
  <c r="E22" i="25"/>
  <c r="F22" i="25"/>
  <c r="C22" i="25"/>
  <c r="D22" i="25"/>
  <c r="B22" i="25"/>
  <c r="D24" i="25"/>
  <c r="F24" i="25"/>
  <c r="C24" i="25"/>
  <c r="E24" i="25"/>
  <c r="B24" i="25"/>
  <c r="D28" i="25"/>
  <c r="F28" i="25"/>
  <c r="C28" i="25"/>
  <c r="E28" i="25"/>
  <c r="B28" i="25"/>
  <c r="E20" i="25"/>
  <c r="D20" i="25"/>
  <c r="F20" i="25"/>
  <c r="C20" i="25"/>
  <c r="B20" i="25"/>
  <c r="E18" i="25"/>
  <c r="D18" i="25"/>
  <c r="C18" i="25"/>
  <c r="F18" i="25"/>
  <c r="B18" i="25"/>
  <c r="O191" i="38"/>
  <c r="N191" i="38"/>
  <c r="M191" i="38"/>
  <c r="L191" i="38"/>
  <c r="K191" i="38"/>
  <c r="J191" i="38"/>
  <c r="I191" i="38"/>
  <c r="H191" i="38"/>
  <c r="G191" i="38"/>
  <c r="F191" i="38"/>
  <c r="E191" i="38"/>
  <c r="D191" i="38"/>
  <c r="R190" i="38"/>
  <c r="R189" i="38"/>
  <c r="O189" i="38"/>
  <c r="N189" i="38"/>
  <c r="M189" i="38"/>
  <c r="L189" i="38"/>
  <c r="K189" i="38"/>
  <c r="J189" i="38"/>
  <c r="I189" i="38"/>
  <c r="H189" i="38"/>
  <c r="G189" i="38"/>
  <c r="F189" i="38"/>
  <c r="E189" i="38"/>
  <c r="D189" i="38"/>
  <c r="O188" i="38"/>
  <c r="AE188" i="38" s="1"/>
  <c r="N188" i="38"/>
  <c r="AD188" i="38" s="1"/>
  <c r="M188" i="38"/>
  <c r="AC188" i="38" s="1"/>
  <c r="L188" i="38"/>
  <c r="AB188" i="38" s="1"/>
  <c r="K188" i="38"/>
  <c r="AA188" i="38" s="1"/>
  <c r="J188" i="38"/>
  <c r="Z188" i="38" s="1"/>
  <c r="I188" i="38"/>
  <c r="Y188" i="38" s="1"/>
  <c r="H188" i="38"/>
  <c r="X188" i="38" s="1"/>
  <c r="G188" i="38"/>
  <c r="W188" i="38" s="1"/>
  <c r="F188" i="38"/>
  <c r="V188" i="38" s="1"/>
  <c r="E188" i="38"/>
  <c r="U188" i="38" s="1"/>
  <c r="D188" i="38"/>
  <c r="T188" i="38" s="1"/>
  <c r="C188" i="38"/>
  <c r="S188" i="38" s="1"/>
  <c r="A188" i="38"/>
  <c r="R188" i="38" s="1"/>
  <c r="A184" i="38"/>
  <c r="A182" i="38"/>
  <c r="A180" i="38"/>
  <c r="A178" i="38"/>
  <c r="A176" i="38"/>
  <c r="Q168" i="38"/>
  <c r="Q166" i="38"/>
  <c r="Q164" i="38"/>
  <c r="Q162" i="38"/>
  <c r="Q160" i="38"/>
  <c r="AE144" i="38"/>
  <c r="AD144" i="38"/>
  <c r="AC144" i="38"/>
  <c r="AB144" i="38"/>
  <c r="AA144" i="38"/>
  <c r="Y144" i="38"/>
  <c r="X144" i="38"/>
  <c r="W144" i="38"/>
  <c r="V144" i="38"/>
  <c r="U144" i="38"/>
  <c r="T144" i="38"/>
  <c r="S144" i="38"/>
  <c r="AE143" i="38"/>
  <c r="AC143" i="38"/>
  <c r="AB143" i="38"/>
  <c r="AA143" i="38"/>
  <c r="Z143" i="38"/>
  <c r="Y143" i="38"/>
  <c r="X143" i="38"/>
  <c r="W143" i="38"/>
  <c r="V143" i="38"/>
  <c r="T143" i="38"/>
  <c r="S143" i="38"/>
  <c r="AE142" i="38"/>
  <c r="AC142" i="38"/>
  <c r="AB142" i="38"/>
  <c r="AA142" i="38"/>
  <c r="Z142" i="38"/>
  <c r="Y142" i="38"/>
  <c r="X142" i="38"/>
  <c r="W142" i="38"/>
  <c r="U142" i="38"/>
  <c r="T142" i="38"/>
  <c r="S142" i="38"/>
  <c r="AE141" i="38"/>
  <c r="AC141" i="38"/>
  <c r="AB141" i="38"/>
  <c r="AA141" i="38"/>
  <c r="Y141" i="38"/>
  <c r="X141" i="38"/>
  <c r="W141" i="38"/>
  <c r="V141" i="38"/>
  <c r="T141" i="38"/>
  <c r="S141" i="38"/>
  <c r="Z144" i="38"/>
  <c r="AE140" i="38"/>
  <c r="AD140" i="38"/>
  <c r="AC140" i="38"/>
  <c r="AB140" i="38"/>
  <c r="AA140" i="38"/>
  <c r="Z140" i="38"/>
  <c r="X140" i="38"/>
  <c r="W140" i="38"/>
  <c r="V140" i="38"/>
  <c r="U140" i="38"/>
  <c r="T140" i="38"/>
  <c r="S140" i="38"/>
  <c r="AD143" i="38"/>
  <c r="U143" i="38"/>
  <c r="AD142" i="38"/>
  <c r="V142" i="38"/>
  <c r="AE139" i="38"/>
  <c r="AD139" i="38"/>
  <c r="AC139" i="38"/>
  <c r="AB139" i="38"/>
  <c r="AA139" i="38"/>
  <c r="Z139" i="38"/>
  <c r="Y139" i="38"/>
  <c r="X139" i="38"/>
  <c r="W139" i="38"/>
  <c r="V139" i="38"/>
  <c r="U139" i="38"/>
  <c r="T139" i="38"/>
  <c r="S139" i="38"/>
  <c r="AD141" i="38"/>
  <c r="Z141" i="38"/>
  <c r="U141" i="38"/>
  <c r="Y140" i="38"/>
  <c r="AE138" i="38"/>
  <c r="AD138" i="38"/>
  <c r="AC138" i="38"/>
  <c r="AB138" i="38"/>
  <c r="AA138" i="38"/>
  <c r="Z138" i="38"/>
  <c r="Y138" i="38"/>
  <c r="X138" i="38"/>
  <c r="W138" i="38"/>
  <c r="V138" i="38"/>
  <c r="U138" i="38"/>
  <c r="T138" i="38"/>
  <c r="S138" i="38"/>
  <c r="A115" i="38"/>
  <c r="A138" i="38" s="1"/>
  <c r="R138" i="38" s="1"/>
  <c r="Q92" i="38"/>
  <c r="AE81" i="38"/>
  <c r="AD81" i="38"/>
  <c r="AC81" i="38"/>
  <c r="AB81" i="38"/>
  <c r="AA81" i="38"/>
  <c r="Z81" i="38"/>
  <c r="Y81" i="38"/>
  <c r="X81" i="38"/>
  <c r="W81" i="38"/>
  <c r="V81" i="38"/>
  <c r="U81" i="38"/>
  <c r="T81" i="38"/>
  <c r="S81" i="38"/>
  <c r="AE80" i="38"/>
  <c r="AD80" i="38"/>
  <c r="AC80" i="38"/>
  <c r="AB80" i="38"/>
  <c r="AA80" i="38"/>
  <c r="Z80" i="38"/>
  <c r="Y80" i="38"/>
  <c r="X80" i="38"/>
  <c r="W80" i="38"/>
  <c r="V80" i="38"/>
  <c r="U80" i="38"/>
  <c r="T80" i="38"/>
  <c r="S80" i="38"/>
  <c r="AE79" i="38"/>
  <c r="AD79" i="38"/>
  <c r="AC79" i="38"/>
  <c r="AB79" i="38"/>
  <c r="AA79" i="38"/>
  <c r="Z79" i="38"/>
  <c r="Y79" i="38"/>
  <c r="X79" i="38"/>
  <c r="W79" i="38"/>
  <c r="V79" i="38"/>
  <c r="U79" i="38"/>
  <c r="T79" i="38"/>
  <c r="S79" i="38"/>
  <c r="AE78" i="38"/>
  <c r="AD78" i="38"/>
  <c r="AC78" i="38"/>
  <c r="AB78" i="38"/>
  <c r="AA78" i="38"/>
  <c r="Z78" i="38"/>
  <c r="Y78" i="38"/>
  <c r="X78" i="38"/>
  <c r="W78" i="38"/>
  <c r="V78" i="38"/>
  <c r="U78" i="38"/>
  <c r="T78" i="38"/>
  <c r="S78" i="38"/>
  <c r="AE77" i="38"/>
  <c r="AD77" i="38"/>
  <c r="AC77" i="38"/>
  <c r="AB77" i="38"/>
  <c r="AA77" i="38"/>
  <c r="Z77" i="38"/>
  <c r="Y77" i="38"/>
  <c r="X77" i="38"/>
  <c r="W77" i="38"/>
  <c r="V77" i="38"/>
  <c r="U77" i="38"/>
  <c r="T77" i="38"/>
  <c r="S77" i="38"/>
  <c r="Q77" i="38"/>
  <c r="AE76" i="38"/>
  <c r="AD76" i="38"/>
  <c r="AC76" i="38"/>
  <c r="AB76" i="38"/>
  <c r="AA76" i="38"/>
  <c r="Z76" i="38"/>
  <c r="Y76" i="38"/>
  <c r="X76" i="38"/>
  <c r="W76" i="38"/>
  <c r="V76" i="38"/>
  <c r="U76" i="38"/>
  <c r="T76" i="38"/>
  <c r="S76" i="38"/>
  <c r="A76" i="38"/>
  <c r="R76" i="38" s="1"/>
  <c r="Q56" i="38"/>
  <c r="AE48" i="38"/>
  <c r="AD48" i="38"/>
  <c r="AC48" i="38"/>
  <c r="AB48" i="38"/>
  <c r="AA48" i="38"/>
  <c r="Z48" i="38"/>
  <c r="Y48" i="38"/>
  <c r="X48" i="38"/>
  <c r="W48" i="38"/>
  <c r="V48" i="38"/>
  <c r="U48" i="38"/>
  <c r="T48" i="38"/>
  <c r="S48" i="38"/>
  <c r="AE47" i="38"/>
  <c r="AD47" i="38"/>
  <c r="AC47" i="38"/>
  <c r="AB47" i="38"/>
  <c r="AA47" i="38"/>
  <c r="Z47" i="38"/>
  <c r="Y47" i="38"/>
  <c r="X47" i="38"/>
  <c r="W47" i="38"/>
  <c r="V47" i="38"/>
  <c r="U47" i="38"/>
  <c r="T47" i="38"/>
  <c r="S47" i="38"/>
  <c r="AE46" i="38"/>
  <c r="AD46" i="38"/>
  <c r="AC46" i="38"/>
  <c r="AB46" i="38"/>
  <c r="AA46" i="38"/>
  <c r="Z46" i="38"/>
  <c r="Y46" i="38"/>
  <c r="X46" i="38"/>
  <c r="W46" i="38"/>
  <c r="V46" i="38"/>
  <c r="U46" i="38"/>
  <c r="T46" i="38"/>
  <c r="S46" i="38"/>
  <c r="AE45" i="38"/>
  <c r="AD45" i="38"/>
  <c r="AC45" i="38"/>
  <c r="AB45" i="38"/>
  <c r="AA45" i="38"/>
  <c r="Z45" i="38"/>
  <c r="Y45" i="38"/>
  <c r="X45" i="38"/>
  <c r="W45" i="38"/>
  <c r="V45" i="38"/>
  <c r="U45" i="38"/>
  <c r="T45" i="38"/>
  <c r="S45" i="38"/>
  <c r="AE44" i="38"/>
  <c r="AD44" i="38"/>
  <c r="AC44" i="38"/>
  <c r="AB44" i="38"/>
  <c r="AA44" i="38"/>
  <c r="Z44" i="38"/>
  <c r="Y44" i="38"/>
  <c r="X44" i="38"/>
  <c r="W44" i="38"/>
  <c r="V44" i="38"/>
  <c r="U44" i="38"/>
  <c r="T44" i="38"/>
  <c r="S44" i="38"/>
  <c r="AE43" i="38"/>
  <c r="AD43" i="38"/>
  <c r="AC43" i="38"/>
  <c r="AB43" i="38"/>
  <c r="AA43" i="38"/>
  <c r="Z43" i="38"/>
  <c r="Y43" i="38"/>
  <c r="X43" i="38"/>
  <c r="W43" i="38"/>
  <c r="V43" i="38"/>
  <c r="U43" i="38"/>
  <c r="T43" i="38"/>
  <c r="S43" i="38"/>
  <c r="AE42" i="38"/>
  <c r="AD42" i="38"/>
  <c r="AC42" i="38"/>
  <c r="AB42" i="38"/>
  <c r="AA42" i="38"/>
  <c r="Z42" i="38"/>
  <c r="Y42" i="38"/>
  <c r="X42" i="38"/>
  <c r="W42" i="38"/>
  <c r="V42" i="38"/>
  <c r="U42" i="38"/>
  <c r="T42" i="38"/>
  <c r="S42" i="38"/>
  <c r="AE41" i="38"/>
  <c r="AD41" i="38"/>
  <c r="AC41" i="38"/>
  <c r="AB41" i="38"/>
  <c r="AA41" i="38"/>
  <c r="Z41" i="38"/>
  <c r="Y41" i="38"/>
  <c r="X41" i="38"/>
  <c r="W41" i="38"/>
  <c r="V41" i="38"/>
  <c r="U41" i="38"/>
  <c r="T41" i="38"/>
  <c r="S41" i="38"/>
  <c r="A41" i="38"/>
  <c r="R41" i="38" s="1"/>
  <c r="Q22" i="38"/>
  <c r="O21" i="38"/>
  <c r="O60" i="38" s="1"/>
  <c r="O91" i="38" s="1"/>
  <c r="O157" i="38" s="1"/>
  <c r="N21" i="38"/>
  <c r="N60" i="38" s="1"/>
  <c r="N91" i="38" s="1"/>
  <c r="N157" i="38" s="1"/>
  <c r="M21" i="38"/>
  <c r="M60" i="38" s="1"/>
  <c r="M91" i="38" s="1"/>
  <c r="M157" i="38" s="1"/>
  <c r="L21" i="38"/>
  <c r="K21" i="38"/>
  <c r="K60" i="38" s="1"/>
  <c r="K91" i="38" s="1"/>
  <c r="K157" i="38" s="1"/>
  <c r="J21" i="38"/>
  <c r="J60" i="38" s="1"/>
  <c r="J91" i="38" s="1"/>
  <c r="J157" i="38" s="1"/>
  <c r="I21" i="38"/>
  <c r="I60" i="38" s="1"/>
  <c r="I91" i="38" s="1"/>
  <c r="I157" i="38" s="1"/>
  <c r="H21" i="38"/>
  <c r="H60" i="38" s="1"/>
  <c r="H91" i="38" s="1"/>
  <c r="H157" i="38" s="1"/>
  <c r="G21" i="38"/>
  <c r="G60" i="38" s="1"/>
  <c r="G91" i="38" s="1"/>
  <c r="G157" i="38" s="1"/>
  <c r="F21" i="38"/>
  <c r="F60" i="38" s="1"/>
  <c r="F91" i="38" s="1"/>
  <c r="F157" i="38" s="1"/>
  <c r="E21" i="38"/>
  <c r="E60" i="38" s="1"/>
  <c r="E91" i="38" s="1"/>
  <c r="E157" i="38" s="1"/>
  <c r="D21" i="38"/>
  <c r="D60" i="38" s="1"/>
  <c r="D91" i="38" s="1"/>
  <c r="D157" i="38" s="1"/>
  <c r="C21" i="38"/>
  <c r="C60" i="38" s="1"/>
  <c r="C91" i="38" s="1"/>
  <c r="C157" i="38" s="1"/>
  <c r="B21" i="38"/>
  <c r="B60" i="38" s="1"/>
  <c r="B91" i="38" s="1"/>
  <c r="B157" i="38" s="1"/>
  <c r="B20" i="38"/>
  <c r="B59" i="38" s="1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S14" i="38"/>
  <c r="AE13" i="38"/>
  <c r="AE15" i="38" s="1"/>
  <c r="AD13" i="38"/>
  <c r="AC13" i="38"/>
  <c r="AB13" i="38"/>
  <c r="AA13" i="38"/>
  <c r="Z13" i="38"/>
  <c r="Y13" i="38"/>
  <c r="X13" i="38"/>
  <c r="W13" i="38"/>
  <c r="W15" i="38" s="1"/>
  <c r="V13" i="38"/>
  <c r="U13" i="38"/>
  <c r="T13" i="38"/>
  <c r="S13" i="38"/>
  <c r="B12" i="38"/>
  <c r="B41" i="38" s="1"/>
  <c r="B138" i="38" s="1"/>
  <c r="B188" i="38" s="1"/>
  <c r="A12" i="38"/>
  <c r="R12" i="38" s="1"/>
  <c r="M11" i="38"/>
  <c r="L11" i="38"/>
  <c r="K11" i="38"/>
  <c r="J11" i="38"/>
  <c r="I11" i="38"/>
  <c r="H11" i="38"/>
  <c r="G11" i="38"/>
  <c r="F11" i="38"/>
  <c r="E11" i="38"/>
  <c r="D11" i="38"/>
  <c r="C11" i="38"/>
  <c r="Q7" i="38"/>
  <c r="Q5" i="38"/>
  <c r="Q3" i="38"/>
  <c r="Q158" i="38" l="1"/>
  <c r="L60" i="38"/>
  <c r="L91" i="38" s="1"/>
  <c r="L157" i="38" s="1"/>
  <c r="AD15" i="38"/>
  <c r="Z15" i="38"/>
  <c r="V15" i="38"/>
  <c r="B191" i="38"/>
  <c r="C192" i="38" s="1"/>
  <c r="S190" i="38" s="1"/>
  <c r="B189" i="38"/>
  <c r="N190" i="38" s="1"/>
  <c r="AD189" i="38" s="1"/>
  <c r="T15" i="38"/>
  <c r="AB15" i="38"/>
  <c r="U15" i="38"/>
  <c r="AC15" i="38"/>
  <c r="B90" i="38"/>
  <c r="X15" i="38"/>
  <c r="Y15" i="38"/>
  <c r="Y145" i="38"/>
  <c r="S15" i="38"/>
  <c r="AA15" i="38"/>
  <c r="Q191" i="38"/>
  <c r="Q189" i="38"/>
  <c r="K192" i="38" l="1"/>
  <c r="AA190" i="38" s="1"/>
  <c r="F192" i="38"/>
  <c r="V190" i="38" s="1"/>
  <c r="G192" i="38"/>
  <c r="W190" i="38" s="1"/>
  <c r="M190" i="38"/>
  <c r="AC189" i="38" s="1"/>
  <c r="L190" i="38"/>
  <c r="AB189" i="38" s="1"/>
  <c r="K190" i="38"/>
  <c r="AA189" i="38" s="1"/>
  <c r="J190" i="38"/>
  <c r="Z189" i="38" s="1"/>
  <c r="N192" i="38"/>
  <c r="AD190" i="38" s="1"/>
  <c r="M192" i="38"/>
  <c r="AC190" i="38" s="1"/>
  <c r="O192" i="38"/>
  <c r="AE190" i="38" s="1"/>
  <c r="J192" i="38"/>
  <c r="Z190" i="38" s="1"/>
  <c r="E192" i="38"/>
  <c r="U190" i="38" s="1"/>
  <c r="D192" i="38"/>
  <c r="T190" i="38" s="1"/>
  <c r="L192" i="38"/>
  <c r="AB190" i="38" s="1"/>
  <c r="H192" i="38"/>
  <c r="X190" i="38" s="1"/>
  <c r="I192" i="38"/>
  <c r="Y190" i="38" s="1"/>
  <c r="I190" i="38"/>
  <c r="Y189" i="38" s="1"/>
  <c r="F190" i="38"/>
  <c r="V189" i="38" s="1"/>
  <c r="C190" i="38"/>
  <c r="S189" i="38" s="1"/>
  <c r="H190" i="38"/>
  <c r="X189" i="38" s="1"/>
  <c r="O190" i="38"/>
  <c r="AE189" i="38" s="1"/>
  <c r="D190" i="38"/>
  <c r="T189" i="38" s="1"/>
  <c r="E190" i="38"/>
  <c r="U189" i="38" s="1"/>
  <c r="G190" i="38"/>
  <c r="W189" i="38" s="1"/>
  <c r="Z145" i="38"/>
  <c r="AE145" i="38"/>
  <c r="AC145" i="38"/>
  <c r="U145" i="38"/>
  <c r="AB145" i="38"/>
  <c r="AA145" i="38"/>
  <c r="AD145" i="38"/>
  <c r="W145" i="38"/>
  <c r="T145" i="38"/>
  <c r="S145" i="38"/>
  <c r="V145" i="38"/>
  <c r="X145" i="38"/>
  <c r="B156" i="38"/>
  <c r="A53" i="5"/>
  <c r="A36" i="27" s="1"/>
  <c r="A51" i="5"/>
  <c r="A34" i="27" s="1"/>
  <c r="A49" i="5"/>
  <c r="A32" i="27" s="1"/>
  <c r="A47" i="5"/>
  <c r="A30" i="27" s="1"/>
  <c r="A45" i="5"/>
  <c r="A28" i="27" s="1"/>
  <c r="A43" i="5"/>
  <c r="A26" i="27" s="1"/>
  <c r="A34" i="5"/>
  <c r="A7" i="27" s="1"/>
  <c r="A72" i="5"/>
  <c r="A71" i="27" s="1"/>
  <c r="A70" i="5"/>
  <c r="A69" i="27" s="1"/>
  <c r="A68" i="5"/>
  <c r="A67" i="27" s="1"/>
  <c r="A66" i="5"/>
  <c r="A65" i="27" s="1"/>
  <c r="A64" i="5"/>
  <c r="A63" i="27" s="1"/>
  <c r="A79" i="5"/>
  <c r="A94" i="27" s="1"/>
  <c r="I91" i="5"/>
  <c r="A95" i="5"/>
  <c r="A110" i="27" s="1"/>
  <c r="A93" i="5"/>
  <c r="A108" i="27" s="1"/>
  <c r="A91" i="5"/>
  <c r="A106" i="27" s="1"/>
  <c r="A89" i="5"/>
  <c r="A104" i="27" s="1"/>
  <c r="A87" i="5"/>
  <c r="A102" i="27" s="1"/>
  <c r="A85" i="5"/>
  <c r="A100" i="27" s="1"/>
  <c r="A83" i="5"/>
  <c r="A98" i="27" s="1"/>
  <c r="A81" i="5"/>
  <c r="A96" i="27" s="1"/>
  <c r="A8" i="5" l="1"/>
  <c r="A12" i="5" s="1"/>
  <c r="A16" i="5" s="1"/>
  <c r="A20" i="5" s="1"/>
  <c r="A24" i="5" s="1"/>
  <c r="A9" i="5"/>
  <c r="A13" i="5" s="1"/>
  <c r="A17" i="5" s="1"/>
  <c r="A21" i="5" s="1"/>
  <c r="A25" i="5" s="1"/>
  <c r="A10" i="5"/>
  <c r="A14" i="5" s="1"/>
  <c r="A18" i="5" s="1"/>
  <c r="A22" i="5" s="1"/>
  <c r="A26" i="5" s="1"/>
  <c r="B28" i="5"/>
  <c r="B37" i="5" s="1"/>
  <c r="B53" i="21" l="1"/>
  <c r="B50" i="21"/>
  <c r="B45" i="21"/>
  <c r="B42" i="21"/>
  <c r="B88" i="23" l="1"/>
  <c r="B57" i="21"/>
  <c r="Q5" i="21"/>
  <c r="Q69" i="23"/>
  <c r="B49" i="21"/>
  <c r="B56" i="21"/>
  <c r="Q28" i="21"/>
  <c r="R28" i="21" s="1"/>
  <c r="B44" i="21"/>
  <c r="B52" i="21"/>
  <c r="Q35" i="17"/>
  <c r="Q3" i="17"/>
  <c r="Q5" i="17"/>
  <c r="Q33" i="17"/>
  <c r="Q31" i="17"/>
  <c r="R31" i="17" s="1"/>
  <c r="Q27" i="17"/>
  <c r="R27" i="17" s="1"/>
  <c r="Q67" i="17"/>
  <c r="Q29" i="17"/>
  <c r="R29" i="17" s="1"/>
  <c r="Q37" i="17"/>
  <c r="Q69" i="17"/>
  <c r="Q32" i="21"/>
  <c r="R32" i="21" s="1"/>
  <c r="Q71" i="17"/>
  <c r="R71" i="17" s="1"/>
  <c r="Q25" i="17"/>
  <c r="R25" i="17" s="1"/>
  <c r="Q73" i="17"/>
  <c r="R73" i="17" s="1"/>
  <c r="Q34" i="21"/>
  <c r="R34" i="21" s="1"/>
  <c r="Q7" i="17"/>
  <c r="Q65" i="17"/>
  <c r="B51" i="21"/>
  <c r="Q36" i="21"/>
  <c r="R36" i="21" s="1"/>
  <c r="B54" i="21"/>
  <c r="Q26" i="21"/>
  <c r="R26" i="21" s="1"/>
  <c r="Q69" i="21"/>
  <c r="R69" i="21" s="1"/>
  <c r="Q67" i="21"/>
  <c r="R67" i="21" s="1"/>
  <c r="Q24" i="21"/>
  <c r="R24" i="21" s="1"/>
  <c r="Q7" i="21"/>
  <c r="Q3" i="21"/>
  <c r="B47" i="21"/>
  <c r="B55" i="21"/>
  <c r="B48" i="21"/>
  <c r="Q30" i="21"/>
  <c r="R30" i="21" s="1"/>
  <c r="B46" i="21"/>
  <c r="Q65" i="21"/>
  <c r="R65" i="21" s="1"/>
  <c r="Q71" i="21"/>
  <c r="R71" i="21" s="1"/>
  <c r="Q63" i="21"/>
  <c r="Q34" i="23"/>
  <c r="S34" i="23" s="1"/>
  <c r="Q7" i="23"/>
  <c r="S7" i="23" s="1"/>
  <c r="Q67" i="23"/>
  <c r="S67" i="23" s="1"/>
  <c r="Q63" i="23"/>
  <c r="S63" i="23" s="1"/>
  <c r="Q71" i="23"/>
  <c r="S71" i="23" s="1"/>
  <c r="Q65" i="23"/>
  <c r="S65" i="23" s="1"/>
  <c r="Q28" i="23"/>
  <c r="S28" i="23" s="1"/>
  <c r="Q36" i="23"/>
  <c r="S36" i="23" s="1"/>
  <c r="Q24" i="23"/>
  <c r="S24" i="23" s="1"/>
  <c r="Q30" i="23"/>
  <c r="S30" i="23" s="1"/>
  <c r="Q26" i="23"/>
  <c r="S26" i="23" s="1"/>
  <c r="Q32" i="23"/>
  <c r="S32" i="23" s="1"/>
  <c r="Q3" i="23"/>
  <c r="Q5" i="23"/>
  <c r="S5" i="23" s="1"/>
  <c r="S69" i="23" l="1"/>
  <c r="A5" i="21"/>
  <c r="C8" i="21"/>
  <c r="A7" i="21"/>
  <c r="N70" i="17"/>
  <c r="J70" i="17"/>
  <c r="F70" i="17"/>
  <c r="M70" i="17"/>
  <c r="I70" i="17"/>
  <c r="E70" i="17"/>
  <c r="K70" i="17"/>
  <c r="L70" i="17"/>
  <c r="H70" i="17"/>
  <c r="D70" i="17"/>
  <c r="O70" i="17"/>
  <c r="G70" i="17"/>
  <c r="C70" i="17"/>
  <c r="N66" i="17"/>
  <c r="J66" i="17"/>
  <c r="F66" i="17"/>
  <c r="K66" i="17"/>
  <c r="M66" i="17"/>
  <c r="I66" i="17"/>
  <c r="E66" i="17"/>
  <c r="G66" i="17"/>
  <c r="L66" i="17"/>
  <c r="H66" i="17"/>
  <c r="D66" i="17"/>
  <c r="O66" i="17"/>
  <c r="C66" i="17"/>
  <c r="N68" i="17"/>
  <c r="J68" i="17"/>
  <c r="F68" i="17"/>
  <c r="G68" i="17"/>
  <c r="M68" i="17"/>
  <c r="I68" i="17"/>
  <c r="E68" i="17"/>
  <c r="C68" i="17"/>
  <c r="L68" i="17"/>
  <c r="H68" i="17"/>
  <c r="D68" i="17"/>
  <c r="O68" i="17"/>
  <c r="K68" i="17"/>
  <c r="N74" i="17"/>
  <c r="J74" i="17"/>
  <c r="F74" i="17"/>
  <c r="K74" i="17"/>
  <c r="C74" i="17"/>
  <c r="M74" i="17"/>
  <c r="I74" i="17"/>
  <c r="E74" i="17"/>
  <c r="L74" i="17"/>
  <c r="H74" i="17"/>
  <c r="D74" i="17"/>
  <c r="O74" i="17"/>
  <c r="G74" i="17"/>
  <c r="N72" i="17"/>
  <c r="J72" i="17"/>
  <c r="F72" i="17"/>
  <c r="K72" i="17"/>
  <c r="C72" i="17"/>
  <c r="M72" i="17"/>
  <c r="I72" i="17"/>
  <c r="E72" i="17"/>
  <c r="L72" i="17"/>
  <c r="H72" i="17"/>
  <c r="D72" i="17"/>
  <c r="O72" i="17"/>
  <c r="G72" i="17"/>
  <c r="F28" i="17"/>
  <c r="M28" i="17"/>
  <c r="L28" i="17"/>
  <c r="H28" i="17"/>
  <c r="D28" i="17"/>
  <c r="J28" i="17"/>
  <c r="E28" i="17"/>
  <c r="O28" i="17"/>
  <c r="K28" i="17"/>
  <c r="G28" i="17"/>
  <c r="C28" i="17"/>
  <c r="N28" i="17"/>
  <c r="I28" i="17"/>
  <c r="N36" i="17"/>
  <c r="I36" i="17"/>
  <c r="L36" i="17"/>
  <c r="H36" i="17"/>
  <c r="D36" i="17"/>
  <c r="F36" i="17"/>
  <c r="M36" i="17"/>
  <c r="E36" i="17"/>
  <c r="O36" i="17"/>
  <c r="K36" i="17"/>
  <c r="G36" i="17"/>
  <c r="C36" i="17"/>
  <c r="J36" i="17"/>
  <c r="M26" i="17"/>
  <c r="L26" i="17"/>
  <c r="H26" i="17"/>
  <c r="D26" i="17"/>
  <c r="J26" i="17"/>
  <c r="I26" i="17"/>
  <c r="O26" i="17"/>
  <c r="K26" i="17"/>
  <c r="G26" i="17"/>
  <c r="C26" i="17"/>
  <c r="N26" i="17"/>
  <c r="F26" i="17"/>
  <c r="E26" i="17"/>
  <c r="N38" i="17"/>
  <c r="J38" i="17"/>
  <c r="F38" i="17"/>
  <c r="L38" i="17"/>
  <c r="H38" i="17"/>
  <c r="D38" i="17"/>
  <c r="M38" i="17"/>
  <c r="E38" i="17"/>
  <c r="O38" i="17"/>
  <c r="K38" i="17"/>
  <c r="G38" i="17"/>
  <c r="C38" i="17"/>
  <c r="I38" i="17"/>
  <c r="J32" i="17"/>
  <c r="L32" i="17"/>
  <c r="H32" i="17"/>
  <c r="D32" i="17"/>
  <c r="F32" i="17"/>
  <c r="M32" i="17"/>
  <c r="E32" i="17"/>
  <c r="O32" i="17"/>
  <c r="K32" i="17"/>
  <c r="G32" i="17"/>
  <c r="C32" i="17"/>
  <c r="N32" i="17"/>
  <c r="I32" i="17"/>
  <c r="J30" i="17"/>
  <c r="L30" i="17"/>
  <c r="H30" i="17"/>
  <c r="D30" i="17"/>
  <c r="N30" i="17"/>
  <c r="M30" i="17"/>
  <c r="I30" i="17"/>
  <c r="O30" i="17"/>
  <c r="K30" i="17"/>
  <c r="G30" i="17"/>
  <c r="C30" i="17"/>
  <c r="F30" i="17"/>
  <c r="E30" i="17"/>
  <c r="M34" i="17"/>
  <c r="E34" i="17"/>
  <c r="L34" i="17"/>
  <c r="H34" i="17"/>
  <c r="D34" i="17"/>
  <c r="J34" i="17"/>
  <c r="I34" i="17"/>
  <c r="O34" i="17"/>
  <c r="K34" i="17"/>
  <c r="G34" i="17"/>
  <c r="C34" i="17"/>
  <c r="N34" i="17"/>
  <c r="F34" i="17"/>
  <c r="N6" i="17"/>
  <c r="J6" i="17"/>
  <c r="F6" i="17"/>
  <c r="M6" i="17"/>
  <c r="I6" i="17"/>
  <c r="L6" i="17"/>
  <c r="H6" i="17"/>
  <c r="D6" i="17"/>
  <c r="O6" i="17"/>
  <c r="K6" i="17"/>
  <c r="G6" i="17"/>
  <c r="C6" i="17"/>
  <c r="E6" i="17"/>
  <c r="N8" i="17"/>
  <c r="J8" i="17"/>
  <c r="F8" i="17"/>
  <c r="L8" i="17"/>
  <c r="H8" i="17"/>
  <c r="D8" i="17"/>
  <c r="O8" i="17"/>
  <c r="K8" i="17"/>
  <c r="G8" i="17"/>
  <c r="C8" i="17"/>
  <c r="M8" i="17"/>
  <c r="I8" i="17"/>
  <c r="E8" i="17"/>
  <c r="M11" i="21"/>
  <c r="Q61" i="23"/>
  <c r="Q22" i="21"/>
  <c r="Q63" i="17"/>
  <c r="Q22" i="23"/>
  <c r="Q61" i="21"/>
  <c r="B43" i="21"/>
  <c r="Q23" i="17"/>
  <c r="B38" i="17" l="1"/>
  <c r="B58" i="17" s="1"/>
  <c r="C4" i="21"/>
  <c r="A3" i="21"/>
  <c r="O64" i="17"/>
  <c r="C64" i="17"/>
  <c r="K64" i="17"/>
  <c r="G64" i="17"/>
  <c r="D64" i="17"/>
  <c r="E64" i="17"/>
  <c r="J64" i="17"/>
  <c r="I64" i="17"/>
  <c r="H64" i="17"/>
  <c r="N64" i="17"/>
  <c r="L64" i="17"/>
  <c r="M64" i="17"/>
  <c r="F64" i="17"/>
  <c r="N24" i="17"/>
  <c r="E24" i="17"/>
  <c r="J24" i="17"/>
  <c r="M24" i="17"/>
  <c r="F24" i="17"/>
  <c r="I24" i="17"/>
  <c r="G24" i="17"/>
  <c r="O24" i="17"/>
  <c r="L24" i="17"/>
  <c r="D24" i="17"/>
  <c r="C24" i="17"/>
  <c r="H24" i="17"/>
  <c r="K24" i="17"/>
  <c r="B8" i="17"/>
  <c r="B18" i="17" s="1"/>
  <c r="N4" i="17"/>
  <c r="F4" i="17"/>
  <c r="J4" i="17"/>
  <c r="M4" i="17"/>
  <c r="I4" i="17"/>
  <c r="E4" i="17"/>
  <c r="C4" i="17"/>
  <c r="D4" i="17"/>
  <c r="G4" i="17"/>
  <c r="H4" i="17"/>
  <c r="K4" i="17"/>
  <c r="L4" i="17"/>
  <c r="O4" i="17"/>
  <c r="S94" i="14"/>
  <c r="U94" i="14" s="1"/>
  <c r="S110" i="14"/>
  <c r="U110" i="14" s="1"/>
  <c r="S108" i="14"/>
  <c r="U108" i="14" s="1"/>
  <c r="S106" i="14"/>
  <c r="U106" i="14" s="1"/>
  <c r="S104" i="14"/>
  <c r="U104" i="14" s="1"/>
  <c r="S102" i="14"/>
  <c r="U102" i="14" s="1"/>
  <c r="S100" i="14"/>
  <c r="S98" i="14"/>
  <c r="U98" i="14" s="1"/>
  <c r="S96" i="14"/>
  <c r="S111" i="14" l="1"/>
  <c r="U111" i="14" s="1"/>
  <c r="U96" i="14"/>
  <c r="C9" i="21"/>
  <c r="K9" i="21"/>
  <c r="F9" i="21"/>
  <c r="P9" i="21"/>
  <c r="D9" i="21"/>
  <c r="N9" i="21"/>
  <c r="J9" i="21"/>
  <c r="H9" i="21"/>
  <c r="M9" i="21"/>
  <c r="L9" i="21"/>
  <c r="G9" i="21"/>
  <c r="O9" i="21"/>
  <c r="E9" i="21"/>
  <c r="I9" i="21"/>
  <c r="L75" i="17"/>
  <c r="K75" i="17"/>
  <c r="M75" i="17"/>
  <c r="I75" i="17"/>
  <c r="G75" i="17"/>
  <c r="J75" i="17"/>
  <c r="F75" i="17"/>
  <c r="N75" i="17"/>
  <c r="E75" i="17"/>
  <c r="C75" i="17"/>
  <c r="P75" i="17"/>
  <c r="H75" i="17"/>
  <c r="D75" i="17"/>
  <c r="O75" i="17"/>
  <c r="P39" i="17"/>
  <c r="D39" i="17"/>
  <c r="I39" i="17"/>
  <c r="E39" i="17"/>
  <c r="K39" i="17"/>
  <c r="L39" i="17"/>
  <c r="F39" i="17"/>
  <c r="N39" i="17"/>
  <c r="H39" i="17"/>
  <c r="O39" i="17"/>
  <c r="M39" i="17"/>
  <c r="C39" i="17"/>
  <c r="G39" i="17"/>
  <c r="J39" i="17"/>
  <c r="O9" i="17"/>
  <c r="P9" i="17"/>
  <c r="N9" i="17"/>
  <c r="K9" i="17"/>
  <c r="C9" i="17"/>
  <c r="J9" i="17"/>
  <c r="H9" i="17"/>
  <c r="E9" i="17"/>
  <c r="S3" i="14"/>
  <c r="S32" i="14"/>
  <c r="T32" i="14" s="1"/>
  <c r="S30" i="14"/>
  <c r="T30" i="14" s="1"/>
  <c r="S69" i="14"/>
  <c r="T69" i="14" s="1"/>
  <c r="S65" i="14"/>
  <c r="T65" i="14" s="1"/>
  <c r="T34" i="14"/>
  <c r="S28" i="14"/>
  <c r="T28" i="14" s="1"/>
  <c r="S24" i="14"/>
  <c r="T24" i="14" s="1"/>
  <c r="S63" i="14"/>
  <c r="S36" i="14"/>
  <c r="T36" i="14" s="1"/>
  <c r="S26" i="14"/>
  <c r="T26" i="14" s="1"/>
  <c r="S71" i="14"/>
  <c r="T71" i="14" s="1"/>
  <c r="S67" i="14"/>
  <c r="T67" i="14" s="1"/>
  <c r="U138" i="27"/>
  <c r="T138" i="27"/>
  <c r="S138" i="27"/>
  <c r="R138" i="27"/>
  <c r="Q138" i="27"/>
  <c r="P138" i="27"/>
  <c r="O138" i="27"/>
  <c r="N138" i="27"/>
  <c r="U76" i="27"/>
  <c r="T76" i="27"/>
  <c r="S76" i="27"/>
  <c r="R76" i="27"/>
  <c r="Q76" i="27"/>
  <c r="P76" i="27"/>
  <c r="O76" i="27"/>
  <c r="N76" i="27"/>
  <c r="U41" i="27"/>
  <c r="T41" i="27"/>
  <c r="S41" i="27"/>
  <c r="R41" i="27"/>
  <c r="Q41" i="27"/>
  <c r="P41" i="27"/>
  <c r="O41" i="27"/>
  <c r="N41" i="27"/>
  <c r="O12" i="27"/>
  <c r="P12" i="27"/>
  <c r="Q12" i="27"/>
  <c r="R12" i="27"/>
  <c r="S12" i="27"/>
  <c r="T12" i="27"/>
  <c r="U12" i="27"/>
  <c r="N12" i="27"/>
  <c r="K138" i="27"/>
  <c r="J138" i="27"/>
  <c r="I138" i="27"/>
  <c r="H138" i="27"/>
  <c r="G138" i="27"/>
  <c r="F138" i="27"/>
  <c r="E138" i="27"/>
  <c r="D138" i="27"/>
  <c r="C138" i="27"/>
  <c r="S22" i="14" l="1"/>
  <c r="B57" i="27"/>
  <c r="L106" i="27"/>
  <c r="N106" i="27" s="1"/>
  <c r="S61" i="14"/>
  <c r="S92" i="14"/>
  <c r="L3" i="27"/>
  <c r="L24" i="27"/>
  <c r="N24" i="27" s="1"/>
  <c r="L65" i="27"/>
  <c r="N65" i="27" s="1"/>
  <c r="L100" i="27"/>
  <c r="N100" i="27" s="1"/>
  <c r="L28" i="27"/>
  <c r="N28" i="27" s="1"/>
  <c r="L32" i="27"/>
  <c r="N32" i="27" s="1"/>
  <c r="L98" i="27"/>
  <c r="N98" i="27" s="1"/>
  <c r="L94" i="27"/>
  <c r="N94" i="27" s="1"/>
  <c r="L5" i="27"/>
  <c r="N5" i="27" s="1"/>
  <c r="L26" i="27"/>
  <c r="N26" i="27" s="1"/>
  <c r="L69" i="27"/>
  <c r="N69" i="27" s="1"/>
  <c r="L104" i="27"/>
  <c r="N104" i="27" s="1"/>
  <c r="L7" i="27"/>
  <c r="L96" i="27"/>
  <c r="L36" i="27"/>
  <c r="N36" i="27" s="1"/>
  <c r="L67" i="27"/>
  <c r="N67" i="27" s="1"/>
  <c r="L110" i="27"/>
  <c r="N110" i="27" s="1"/>
  <c r="L30" i="27"/>
  <c r="N30" i="27" s="1"/>
  <c r="L34" i="27"/>
  <c r="N34" i="27" s="1"/>
  <c r="L63" i="27"/>
  <c r="N63" i="27" s="1"/>
  <c r="L71" i="27"/>
  <c r="N71" i="27" s="1"/>
  <c r="L108" i="27"/>
  <c r="N108" i="27" s="1"/>
  <c r="L102" i="27"/>
  <c r="N102" i="27" s="1"/>
  <c r="Q13" i="27"/>
  <c r="T13" i="27"/>
  <c r="N13" i="27"/>
  <c r="U13" i="27"/>
  <c r="S13" i="27"/>
  <c r="P13" i="27"/>
  <c r="O13" i="27"/>
  <c r="R13" i="27"/>
  <c r="L111" i="27" l="1"/>
  <c r="N111" i="27" s="1"/>
  <c r="N96" i="27"/>
  <c r="I4" i="8"/>
  <c r="L22" i="27"/>
  <c r="L61" i="27"/>
  <c r="L92" i="27"/>
  <c r="I5" i="5" l="1"/>
  <c r="J5" i="5" s="1"/>
  <c r="I22" i="5"/>
  <c r="J22" i="5" s="1"/>
  <c r="I9" i="5"/>
  <c r="J9" i="5" s="1"/>
  <c r="I24" i="5"/>
  <c r="J24" i="5" s="1"/>
  <c r="I21" i="5"/>
  <c r="J21" i="5" s="1"/>
  <c r="I26" i="5"/>
  <c r="J26" i="5" s="1"/>
  <c r="I20" i="5"/>
  <c r="J20" i="5" s="1"/>
  <c r="L65" i="5"/>
  <c r="J4" i="5"/>
  <c r="I6" i="5"/>
  <c r="J6" i="5" s="1"/>
  <c r="I14" i="5"/>
  <c r="J14" i="5" s="1"/>
  <c r="I10" i="5"/>
  <c r="J10" i="5" s="1"/>
  <c r="I16" i="5"/>
  <c r="J16" i="5" s="1"/>
  <c r="I25" i="5"/>
  <c r="J25" i="5" s="1"/>
  <c r="I18" i="5"/>
  <c r="J18" i="5" s="1"/>
  <c r="I17" i="5"/>
  <c r="J17" i="5" s="1"/>
  <c r="I13" i="5"/>
  <c r="J13" i="5" s="1"/>
  <c r="I12" i="5"/>
  <c r="J12" i="5" s="1"/>
  <c r="J30" i="5" l="1"/>
  <c r="I8" i="5"/>
  <c r="J8" i="5" s="1"/>
  <c r="S44" i="14" l="1"/>
  <c r="Q13" i="23" l="1"/>
  <c r="L17" i="27" l="1"/>
  <c r="L15" i="27"/>
  <c r="L13" i="27"/>
  <c r="P35" i="8" l="1"/>
  <c r="B61" i="17" l="1"/>
  <c r="B21" i="17"/>
  <c r="S44" i="23" l="1"/>
  <c r="S43" i="23"/>
  <c r="S42" i="23"/>
  <c r="AE42" i="23" l="1"/>
  <c r="AD42" i="23"/>
  <c r="B44" i="23"/>
  <c r="B45" i="23"/>
  <c r="B46" i="23"/>
  <c r="A44" i="23"/>
  <c r="R42" i="23" s="1"/>
  <c r="A46" i="23"/>
  <c r="B47" i="23"/>
  <c r="A13" i="23"/>
  <c r="A22" i="23" s="1"/>
  <c r="AE42" i="21"/>
  <c r="AD42" i="21"/>
  <c r="A44" i="21"/>
  <c r="R42" i="21" s="1"/>
  <c r="P14" i="19"/>
  <c r="O14" i="19"/>
  <c r="N14" i="19"/>
  <c r="M14" i="19"/>
  <c r="L14" i="19"/>
  <c r="K14" i="19"/>
  <c r="K14" i="25" l="1"/>
  <c r="L14" i="25"/>
  <c r="K15" i="25"/>
  <c r="L15" i="25"/>
  <c r="J15" i="25"/>
  <c r="J14" i="25"/>
  <c r="R14" i="19"/>
  <c r="Q14" i="19"/>
  <c r="AI42" i="14"/>
  <c r="AH42" i="14"/>
  <c r="S14" i="19" l="1"/>
  <c r="I17" i="25"/>
  <c r="I16" i="25"/>
  <c r="I15" i="25"/>
  <c r="I14" i="25"/>
  <c r="K13" i="19"/>
  <c r="A35" i="8"/>
  <c r="A24" i="38" s="1"/>
  <c r="A24" i="14" l="1"/>
  <c r="A25" i="17" s="1"/>
  <c r="A44" i="38"/>
  <c r="R42" i="38" s="1"/>
  <c r="O34" i="8"/>
  <c r="M34" i="8"/>
  <c r="L34" i="8"/>
  <c r="P34" i="8"/>
  <c r="N34" i="8"/>
  <c r="J34" i="8"/>
  <c r="A24" i="8"/>
  <c r="A3" i="38" s="1"/>
  <c r="B45" i="27"/>
  <c r="B44" i="27"/>
  <c r="A44" i="27"/>
  <c r="M42" i="27" s="1"/>
  <c r="A3" i="14" l="1"/>
  <c r="A13" i="38"/>
  <c r="A44" i="14"/>
  <c r="T42" i="14" s="1"/>
  <c r="O36" i="8"/>
  <c r="M36" i="8"/>
  <c r="N36" i="8"/>
  <c r="P36" i="8"/>
  <c r="L36" i="8"/>
  <c r="O38" i="8"/>
  <c r="M38" i="8"/>
  <c r="N38" i="8"/>
  <c r="P38" i="8"/>
  <c r="L38" i="8"/>
  <c r="M37" i="8"/>
  <c r="O37" i="8"/>
  <c r="L37" i="8"/>
  <c r="N37" i="8"/>
  <c r="P37" i="8"/>
  <c r="O40" i="8"/>
  <c r="M40" i="8"/>
  <c r="N40" i="8"/>
  <c r="P40" i="8"/>
  <c r="L40" i="8"/>
  <c r="M39" i="8"/>
  <c r="O39" i="8"/>
  <c r="P39" i="8"/>
  <c r="L39" i="8"/>
  <c r="N39" i="8"/>
  <c r="M35" i="8"/>
  <c r="O35" i="8"/>
  <c r="L35" i="8"/>
  <c r="N35" i="8"/>
  <c r="K39" i="8"/>
  <c r="K37" i="8"/>
  <c r="K40" i="8"/>
  <c r="K38" i="8"/>
  <c r="K36" i="8"/>
  <c r="R35" i="8" l="1"/>
  <c r="K35" i="8"/>
  <c r="Q35" i="8" s="1"/>
  <c r="A45" i="17"/>
  <c r="R43" i="17" s="1"/>
  <c r="A15" i="19"/>
  <c r="I5" i="8"/>
  <c r="J4" i="8" s="1"/>
  <c r="S35" i="8" l="1"/>
  <c r="A15" i="25"/>
  <c r="H14" i="25" s="1"/>
  <c r="J14" i="19"/>
  <c r="K44" i="5" l="1"/>
  <c r="N46" i="5"/>
  <c r="M42" i="5"/>
  <c r="M40" i="5"/>
  <c r="L44" i="5" l="1"/>
  <c r="N44" i="5"/>
  <c r="M44" i="5"/>
  <c r="M43" i="5"/>
  <c r="L43" i="5"/>
  <c r="K45" i="5"/>
  <c r="N41" i="5"/>
  <c r="N42" i="5"/>
  <c r="M45" i="5"/>
  <c r="M46" i="5"/>
  <c r="K40" i="5"/>
  <c r="L40" i="5"/>
  <c r="N40" i="5"/>
  <c r="N43" i="5"/>
  <c r="M41" i="5"/>
  <c r="N45" i="5"/>
  <c r="J42" i="5"/>
  <c r="I89" i="5"/>
  <c r="I87" i="5"/>
  <c r="I85" i="5"/>
  <c r="I83" i="5"/>
  <c r="I81" i="5"/>
  <c r="I79" i="5"/>
  <c r="J43" i="5"/>
  <c r="I41" i="5"/>
  <c r="I40" i="5"/>
  <c r="I42" i="5"/>
  <c r="I43" i="5"/>
  <c r="I44" i="5"/>
  <c r="I45" i="5"/>
  <c r="I46" i="5"/>
  <c r="J44" i="5" l="1"/>
  <c r="K43" i="5"/>
  <c r="L42" i="5"/>
  <c r="K41" i="5"/>
  <c r="J46" i="5"/>
  <c r="J41" i="5"/>
  <c r="L41" i="5"/>
  <c r="L46" i="5"/>
  <c r="K46" i="5"/>
  <c r="L45" i="5"/>
  <c r="K42" i="5"/>
  <c r="J40" i="5"/>
  <c r="J45" i="5"/>
  <c r="N39" i="5" l="1"/>
  <c r="K39" i="5"/>
  <c r="L39" i="5"/>
  <c r="J39" i="5"/>
  <c r="M39" i="5"/>
  <c r="AE43" i="23" l="1"/>
  <c r="AD43" i="23"/>
  <c r="D60" i="23"/>
  <c r="E60" i="23"/>
  <c r="F60" i="23"/>
  <c r="G60" i="23"/>
  <c r="H60" i="23"/>
  <c r="I60" i="23"/>
  <c r="J21" i="23"/>
  <c r="J60" i="23" s="1"/>
  <c r="K21" i="23"/>
  <c r="K60" i="23" s="1"/>
  <c r="L21" i="23"/>
  <c r="L60" i="23" s="1"/>
  <c r="M21" i="23"/>
  <c r="M60" i="23" s="1"/>
  <c r="N21" i="23"/>
  <c r="O21" i="23"/>
  <c r="O60" i="23" s="1"/>
  <c r="AD43" i="21"/>
  <c r="AE43" i="21"/>
  <c r="D60" i="21"/>
  <c r="E60" i="21"/>
  <c r="F60" i="21"/>
  <c r="G60" i="21"/>
  <c r="H60" i="21"/>
  <c r="I60" i="21"/>
  <c r="J21" i="21"/>
  <c r="J60" i="21" s="1"/>
  <c r="K21" i="21"/>
  <c r="K60" i="21" s="1"/>
  <c r="L21" i="21"/>
  <c r="L60" i="21" s="1"/>
  <c r="M21" i="21"/>
  <c r="M60" i="21" s="1"/>
  <c r="N21" i="21"/>
  <c r="O21" i="21"/>
  <c r="C12" i="19"/>
  <c r="C31" i="19" s="1"/>
  <c r="D12" i="19"/>
  <c r="D31" i="19" s="1"/>
  <c r="E12" i="19"/>
  <c r="E31" i="19" s="1"/>
  <c r="F12" i="19"/>
  <c r="F31" i="19" s="1"/>
  <c r="G12" i="19"/>
  <c r="G31" i="19" s="1"/>
  <c r="H12" i="19"/>
  <c r="H31" i="19" s="1"/>
  <c r="D62" i="17"/>
  <c r="E62" i="17"/>
  <c r="F62" i="17"/>
  <c r="H62" i="17"/>
  <c r="I62" i="17"/>
  <c r="J62" i="17"/>
  <c r="K62" i="17"/>
  <c r="L62" i="17"/>
  <c r="M62" i="17"/>
  <c r="N62" i="17"/>
  <c r="G62" i="17" l="1"/>
  <c r="AE44" i="17"/>
  <c r="AE43" i="17"/>
  <c r="P60" i="21"/>
  <c r="O62" i="17"/>
  <c r="N60" i="23"/>
  <c r="O60" i="21"/>
  <c r="N60" i="21"/>
  <c r="Q81" i="17" l="1"/>
  <c r="S168" i="14"/>
  <c r="S166" i="14"/>
  <c r="S164" i="14"/>
  <c r="S162" i="14"/>
  <c r="S160" i="14"/>
  <c r="S158" i="14"/>
  <c r="P139" i="14"/>
  <c r="Q139" i="14"/>
  <c r="P140" i="14"/>
  <c r="Q140" i="14"/>
  <c r="P141" i="14"/>
  <c r="Q141" i="14"/>
  <c r="P142" i="14"/>
  <c r="Q142" i="14"/>
  <c r="P143" i="14"/>
  <c r="Q143" i="14"/>
  <c r="P144" i="14"/>
  <c r="Q144" i="14"/>
  <c r="P145" i="14"/>
  <c r="Q145" i="14"/>
  <c r="P146" i="14"/>
  <c r="Q146" i="14"/>
  <c r="P147" i="14"/>
  <c r="Q147" i="14"/>
  <c r="P148" i="14"/>
  <c r="Q148" i="14"/>
  <c r="P149" i="14"/>
  <c r="Q149" i="14"/>
  <c r="P150" i="14"/>
  <c r="Q150" i="14"/>
  <c r="P151" i="14"/>
  <c r="Q151" i="14"/>
  <c r="P152" i="14"/>
  <c r="Q152" i="14"/>
  <c r="AH43" i="14"/>
  <c r="AI43" i="14"/>
  <c r="Q189" i="14" l="1"/>
  <c r="Q191" i="14"/>
  <c r="Q153" i="14"/>
  <c r="P153" i="14"/>
  <c r="P191" i="14"/>
  <c r="P189" i="14"/>
  <c r="D21" i="14"/>
  <c r="D60" i="14" s="1"/>
  <c r="E21" i="14"/>
  <c r="E60" i="14" s="1"/>
  <c r="F21" i="14"/>
  <c r="F60" i="14" s="1"/>
  <c r="G21" i="14"/>
  <c r="G60" i="14" s="1"/>
  <c r="H21" i="14"/>
  <c r="H60" i="14" s="1"/>
  <c r="I21" i="14"/>
  <c r="I60" i="14" s="1"/>
  <c r="J21" i="14"/>
  <c r="J60" i="14" s="1"/>
  <c r="K21" i="14"/>
  <c r="K60" i="14" s="1"/>
  <c r="L21" i="14"/>
  <c r="L60" i="14" s="1"/>
  <c r="M21" i="14"/>
  <c r="M60" i="14" s="1"/>
  <c r="N21" i="14"/>
  <c r="N60" i="14" s="1"/>
  <c r="O21" i="14"/>
  <c r="O60" i="14" s="1"/>
  <c r="P21" i="14"/>
  <c r="Q21" i="14"/>
  <c r="I140" i="14"/>
  <c r="G140" i="14"/>
  <c r="P60" i="14" l="1"/>
  <c r="Q60" i="14"/>
  <c r="G139" i="14"/>
  <c r="F140" i="14"/>
  <c r="J140" i="14"/>
  <c r="O140" i="14"/>
  <c r="D140" i="14"/>
  <c r="H140" i="14"/>
  <c r="L140" i="14"/>
  <c r="K140" i="14"/>
  <c r="M140" i="14"/>
  <c r="E140" i="14"/>
  <c r="N140" i="14"/>
  <c r="U43" i="14"/>
  <c r="Y43" i="14" l="1"/>
  <c r="I139" i="14"/>
  <c r="K139" i="14"/>
  <c r="J139" i="14"/>
  <c r="H139" i="14"/>
  <c r="O139" i="14"/>
  <c r="M139" i="14"/>
  <c r="F139" i="14"/>
  <c r="L139" i="14"/>
  <c r="D139" i="14"/>
  <c r="N139" i="14"/>
  <c r="E139" i="14"/>
  <c r="L24" i="8"/>
  <c r="M24" i="8"/>
  <c r="N24" i="8"/>
  <c r="O24" i="8"/>
  <c r="P24" i="8"/>
  <c r="L25" i="8"/>
  <c r="M25" i="8"/>
  <c r="N25" i="8"/>
  <c r="O25" i="8"/>
  <c r="P25" i="8"/>
  <c r="L26" i="8"/>
  <c r="M26" i="8"/>
  <c r="N26" i="8"/>
  <c r="O26" i="8"/>
  <c r="P26" i="8"/>
  <c r="R24" i="8" l="1"/>
  <c r="AA43" i="14"/>
  <c r="AG43" i="14"/>
  <c r="AB43" i="14"/>
  <c r="V43" i="14"/>
  <c r="X43" i="14"/>
  <c r="AD43" i="14"/>
  <c r="AE43" i="14"/>
  <c r="Z43" i="14"/>
  <c r="AC43" i="14"/>
  <c r="W43" i="14"/>
  <c r="AF43" i="14"/>
  <c r="B152" i="27"/>
  <c r="B151" i="27"/>
  <c r="B150" i="27"/>
  <c r="B149" i="27"/>
  <c r="B148" i="27"/>
  <c r="B147" i="27"/>
  <c r="B146" i="27"/>
  <c r="B145" i="27"/>
  <c r="B144" i="27"/>
  <c r="B143" i="27"/>
  <c r="B142" i="27"/>
  <c r="B141" i="27"/>
  <c r="B140" i="27"/>
  <c r="B139" i="27"/>
  <c r="B154" i="27" s="1"/>
  <c r="A115" i="27"/>
  <c r="A138" i="27" s="1"/>
  <c r="M138" i="27" s="1"/>
  <c r="A134" i="27"/>
  <c r="A132" i="27"/>
  <c r="A151" i="27" s="1"/>
  <c r="M144" i="27" s="1"/>
  <c r="A130" i="27"/>
  <c r="A149" i="27" s="1"/>
  <c r="M143" i="27" s="1"/>
  <c r="A128" i="27"/>
  <c r="A126" i="27"/>
  <c r="A147" i="27" s="1"/>
  <c r="M142" i="27" s="1"/>
  <c r="A124" i="27"/>
  <c r="A145" i="27" s="1"/>
  <c r="M141" i="27" s="1"/>
  <c r="A122" i="27"/>
  <c r="A143" i="27" s="1"/>
  <c r="M140" i="27" s="1"/>
  <c r="A120" i="27"/>
  <c r="A118" i="27"/>
  <c r="A141" i="27" s="1"/>
  <c r="M139" i="27" s="1"/>
  <c r="A76" i="27"/>
  <c r="M76" i="27" s="1"/>
  <c r="A87" i="27"/>
  <c r="M81" i="27" s="1"/>
  <c r="A85" i="27"/>
  <c r="M80" i="27" s="1"/>
  <c r="A83" i="27"/>
  <c r="M79" i="27" s="1"/>
  <c r="A81" i="27"/>
  <c r="M78" i="27" s="1"/>
  <c r="A79" i="27"/>
  <c r="M77" i="27" s="1"/>
  <c r="B56" i="27"/>
  <c r="B55" i="27"/>
  <c r="B54" i="27"/>
  <c r="B53" i="27"/>
  <c r="B52" i="27"/>
  <c r="B51" i="27"/>
  <c r="B50" i="27"/>
  <c r="B49" i="27"/>
  <c r="B48" i="27"/>
  <c r="B47" i="27"/>
  <c r="B46" i="27"/>
  <c r="B43" i="27"/>
  <c r="B42" i="27"/>
  <c r="A41" i="27"/>
  <c r="M41" i="27" s="1"/>
  <c r="A56" i="27"/>
  <c r="M48" i="27" s="1"/>
  <c r="A54" i="27"/>
  <c r="M47" i="27" s="1"/>
  <c r="A52" i="27"/>
  <c r="M46" i="27" s="1"/>
  <c r="A50" i="27"/>
  <c r="M45" i="27" s="1"/>
  <c r="A48" i="27"/>
  <c r="M44" i="27" s="1"/>
  <c r="A46" i="27"/>
  <c r="M43" i="27" s="1"/>
  <c r="K21" i="27"/>
  <c r="K60" i="27" s="1"/>
  <c r="J21" i="27"/>
  <c r="J60" i="27" s="1"/>
  <c r="I21" i="27"/>
  <c r="I60" i="27" s="1"/>
  <c r="H21" i="27"/>
  <c r="H60" i="27" s="1"/>
  <c r="H91" i="27" s="1"/>
  <c r="G21" i="27"/>
  <c r="G60" i="27" s="1"/>
  <c r="G91" i="27" s="1"/>
  <c r="F21" i="27"/>
  <c r="E21" i="27"/>
  <c r="D21" i="27"/>
  <c r="D60" i="27" s="1"/>
  <c r="D91" i="27" s="1"/>
  <c r="C21" i="27"/>
  <c r="B21" i="27"/>
  <c r="B60" i="27" s="1"/>
  <c r="B91" i="27" s="1"/>
  <c r="B20" i="27"/>
  <c r="B59" i="27" s="1"/>
  <c r="B18" i="27"/>
  <c r="B17" i="27"/>
  <c r="B16" i="27"/>
  <c r="B15" i="27"/>
  <c r="B14" i="27"/>
  <c r="B13" i="27"/>
  <c r="B12" i="27"/>
  <c r="B41" i="27" s="1"/>
  <c r="B76" i="27" s="1"/>
  <c r="B115" i="27" s="1"/>
  <c r="B138" i="27" s="1"/>
  <c r="A12" i="27"/>
  <c r="M12" i="27" s="1"/>
  <c r="A17" i="27"/>
  <c r="M14" i="27" s="1"/>
  <c r="A15" i="27"/>
  <c r="M13" i="27" s="1"/>
  <c r="A13" i="27"/>
  <c r="A22" i="27" s="1"/>
  <c r="A42" i="27" s="1"/>
  <c r="R42" i="27" l="1"/>
  <c r="N42" i="27"/>
  <c r="Q42" i="27"/>
  <c r="T43" i="27"/>
  <c r="P42" i="27"/>
  <c r="U42" i="27"/>
  <c r="T42" i="27"/>
  <c r="S42" i="27"/>
  <c r="U43" i="27"/>
  <c r="A61" i="27"/>
  <c r="A77" i="27" s="1"/>
  <c r="A92" i="27" s="1"/>
  <c r="A116" i="27" s="1"/>
  <c r="A139" i="27" s="1"/>
  <c r="C60" i="27"/>
  <c r="O42" i="27"/>
  <c r="G142" i="14"/>
  <c r="G144" i="14"/>
  <c r="G146" i="14"/>
  <c r="G148" i="14"/>
  <c r="G150" i="14"/>
  <c r="G152" i="14"/>
  <c r="G141" i="14"/>
  <c r="G147" i="14"/>
  <c r="G143" i="14"/>
  <c r="G145" i="14"/>
  <c r="G149" i="14"/>
  <c r="G151" i="14"/>
  <c r="K91" i="27"/>
  <c r="I91" i="27"/>
  <c r="J91" i="27"/>
  <c r="B90" i="27"/>
  <c r="E60" i="27"/>
  <c r="E91" i="27" s="1"/>
  <c r="F60" i="27"/>
  <c r="F91" i="27" s="1"/>
  <c r="T14" i="27"/>
  <c r="M145" i="27" l="1"/>
  <c r="L50" i="27"/>
  <c r="C91" i="27"/>
  <c r="L54" i="27"/>
  <c r="L44" i="27"/>
  <c r="L48" i="27"/>
  <c r="L56" i="27"/>
  <c r="L52" i="27"/>
  <c r="L42" i="27"/>
  <c r="L46" i="27"/>
  <c r="I151" i="14"/>
  <c r="I142" i="14"/>
  <c r="I146" i="14"/>
  <c r="I152" i="14"/>
  <c r="I144" i="14"/>
  <c r="I143" i="14"/>
  <c r="I150" i="14"/>
  <c r="I145" i="14"/>
  <c r="I141" i="14"/>
  <c r="I148" i="14"/>
  <c r="I149" i="14"/>
  <c r="I147" i="14"/>
  <c r="L141" i="14"/>
  <c r="L142" i="14"/>
  <c r="L143" i="14"/>
  <c r="L144" i="14"/>
  <c r="L145" i="14"/>
  <c r="L146" i="14"/>
  <c r="L147" i="14"/>
  <c r="L148" i="14"/>
  <c r="L149" i="14"/>
  <c r="L151" i="14"/>
  <c r="L150" i="14"/>
  <c r="L152" i="14"/>
  <c r="F141" i="14"/>
  <c r="F142" i="14"/>
  <c r="F143" i="14"/>
  <c r="F144" i="14"/>
  <c r="F145" i="14"/>
  <c r="F146" i="14"/>
  <c r="F147" i="14"/>
  <c r="F148" i="14"/>
  <c r="F149" i="14"/>
  <c r="F151" i="14"/>
  <c r="F150" i="14"/>
  <c r="F152" i="14"/>
  <c r="G153" i="14"/>
  <c r="M141" i="14"/>
  <c r="M143" i="14"/>
  <c r="M145" i="14"/>
  <c r="M147" i="14"/>
  <c r="M142" i="14"/>
  <c r="M144" i="14"/>
  <c r="M146" i="14"/>
  <c r="M148" i="14"/>
  <c r="M149" i="14"/>
  <c r="M150" i="14"/>
  <c r="M151" i="14"/>
  <c r="M152" i="14"/>
  <c r="D141" i="14"/>
  <c r="D143" i="14"/>
  <c r="D145" i="14"/>
  <c r="D147" i="14"/>
  <c r="D149" i="14"/>
  <c r="D150" i="14"/>
  <c r="D151" i="14"/>
  <c r="D152" i="14"/>
  <c r="D142" i="14"/>
  <c r="D144" i="14"/>
  <c r="D146" i="14"/>
  <c r="D148" i="14"/>
  <c r="O142" i="14"/>
  <c r="O144" i="14"/>
  <c r="O146" i="14"/>
  <c r="O148" i="14"/>
  <c r="O149" i="14"/>
  <c r="O150" i="14"/>
  <c r="O151" i="14"/>
  <c r="O152" i="14"/>
  <c r="O145" i="14"/>
  <c r="O143" i="14"/>
  <c r="O141" i="14"/>
  <c r="O147" i="14"/>
  <c r="H142" i="14"/>
  <c r="H144" i="14"/>
  <c r="H146" i="14"/>
  <c r="H148" i="14"/>
  <c r="H149" i="14"/>
  <c r="H150" i="14"/>
  <c r="H151" i="14"/>
  <c r="H152" i="14"/>
  <c r="H143" i="14"/>
  <c r="H141" i="14"/>
  <c r="H147" i="14"/>
  <c r="H145" i="14"/>
  <c r="J149" i="14"/>
  <c r="J150" i="14"/>
  <c r="J151" i="14"/>
  <c r="J152" i="14"/>
  <c r="J142" i="14"/>
  <c r="J144" i="14"/>
  <c r="J146" i="14"/>
  <c r="J148" i="14"/>
  <c r="J141" i="14"/>
  <c r="J143" i="14"/>
  <c r="J145" i="14"/>
  <c r="J147" i="14"/>
  <c r="K141" i="14"/>
  <c r="K143" i="14"/>
  <c r="K145" i="14"/>
  <c r="K147" i="14"/>
  <c r="K149" i="14"/>
  <c r="K150" i="14"/>
  <c r="K151" i="14"/>
  <c r="K152" i="14"/>
  <c r="K142" i="14"/>
  <c r="K148" i="14"/>
  <c r="K146" i="14"/>
  <c r="K144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N145" i="14"/>
  <c r="N152" i="14"/>
  <c r="N141" i="14"/>
  <c r="N144" i="14"/>
  <c r="N147" i="14"/>
  <c r="N150" i="14"/>
  <c r="N142" i="14"/>
  <c r="N143" i="14"/>
  <c r="N146" i="14"/>
  <c r="N148" i="14"/>
  <c r="N149" i="14"/>
  <c r="N151" i="14"/>
  <c r="Q14" i="27"/>
  <c r="R14" i="27"/>
  <c r="P14" i="27"/>
  <c r="N14" i="27"/>
  <c r="S14" i="27"/>
  <c r="U14" i="27"/>
  <c r="U15" i="27" s="1"/>
  <c r="T15" i="27"/>
  <c r="I149" i="27" l="1"/>
  <c r="J141" i="27"/>
  <c r="J151" i="27"/>
  <c r="J147" i="27"/>
  <c r="I147" i="27"/>
  <c r="I141" i="27"/>
  <c r="I151" i="27"/>
  <c r="E139" i="27"/>
  <c r="J149" i="27"/>
  <c r="I143" i="27"/>
  <c r="J145" i="27"/>
  <c r="J143" i="27"/>
  <c r="I145" i="27"/>
  <c r="I144" i="27"/>
  <c r="J146" i="27"/>
  <c r="I148" i="27"/>
  <c r="J142" i="27"/>
  <c r="J152" i="27"/>
  <c r="J150" i="27"/>
  <c r="J139" i="27"/>
  <c r="I146" i="27"/>
  <c r="I142" i="27"/>
  <c r="I139" i="27"/>
  <c r="I150" i="27"/>
  <c r="C139" i="27"/>
  <c r="J144" i="27"/>
  <c r="J148" i="27"/>
  <c r="I152" i="27"/>
  <c r="J140" i="27"/>
  <c r="F140" i="27"/>
  <c r="C140" i="27"/>
  <c r="H140" i="27"/>
  <c r="E140" i="27"/>
  <c r="G140" i="27"/>
  <c r="D140" i="27"/>
  <c r="I140" i="27"/>
  <c r="J153" i="14"/>
  <c r="I153" i="14"/>
  <c r="M153" i="14"/>
  <c r="O153" i="14"/>
  <c r="N153" i="14"/>
  <c r="L153" i="14"/>
  <c r="K153" i="14"/>
  <c r="H153" i="14"/>
  <c r="D153" i="14"/>
  <c r="F153" i="14"/>
  <c r="E153" i="14"/>
  <c r="Q15" i="27"/>
  <c r="N15" i="27"/>
  <c r="S15" i="27"/>
  <c r="P15" i="27"/>
  <c r="O14" i="27"/>
  <c r="T45" i="27"/>
  <c r="T47" i="27"/>
  <c r="T44" i="27"/>
  <c r="T48" i="27"/>
  <c r="T46" i="27"/>
  <c r="R15" i="27"/>
  <c r="U48" i="27"/>
  <c r="I153" i="27" l="1"/>
  <c r="I154" i="27" s="1"/>
  <c r="L120" i="27"/>
  <c r="L124" i="27"/>
  <c r="L128" i="27"/>
  <c r="L130" i="27"/>
  <c r="L118" i="27"/>
  <c r="J153" i="27"/>
  <c r="J154" i="27" s="1"/>
  <c r="L116" i="27"/>
  <c r="L134" i="27"/>
  <c r="L126" i="27"/>
  <c r="L122" i="27"/>
  <c r="L132" i="27"/>
  <c r="D146" i="27"/>
  <c r="D152" i="27"/>
  <c r="D145" i="27"/>
  <c r="D151" i="27"/>
  <c r="D142" i="27"/>
  <c r="D148" i="27"/>
  <c r="D141" i="27"/>
  <c r="D147" i="27"/>
  <c r="D144" i="27"/>
  <c r="D150" i="27"/>
  <c r="D143" i="27"/>
  <c r="D149" i="27"/>
  <c r="E145" i="27"/>
  <c r="E151" i="27"/>
  <c r="E142" i="27"/>
  <c r="E144" i="27"/>
  <c r="E148" i="27"/>
  <c r="E150" i="27"/>
  <c r="E143" i="27"/>
  <c r="E149" i="27"/>
  <c r="E141" i="27"/>
  <c r="E147" i="27"/>
  <c r="E152" i="27"/>
  <c r="E146" i="27"/>
  <c r="H139" i="27"/>
  <c r="O81" i="27"/>
  <c r="O78" i="27"/>
  <c r="F139" i="27"/>
  <c r="G139" i="27"/>
  <c r="D139" i="27"/>
  <c r="P48" i="27"/>
  <c r="P47" i="27"/>
  <c r="P46" i="27"/>
  <c r="P45" i="27"/>
  <c r="P44" i="27"/>
  <c r="P43" i="27"/>
  <c r="N48" i="27"/>
  <c r="N47" i="27"/>
  <c r="N46" i="27"/>
  <c r="N45" i="27"/>
  <c r="N44" i="27"/>
  <c r="N43" i="27"/>
  <c r="T79" i="27"/>
  <c r="O48" i="27"/>
  <c r="O47" i="27"/>
  <c r="O46" i="27"/>
  <c r="O45" i="27"/>
  <c r="O44" i="27"/>
  <c r="O43" i="27"/>
  <c r="T77" i="27"/>
  <c r="T78" i="27"/>
  <c r="T81" i="27"/>
  <c r="U45" i="27"/>
  <c r="U46" i="27"/>
  <c r="T80" i="27"/>
  <c r="O15" i="27"/>
  <c r="U47" i="27"/>
  <c r="U44" i="27"/>
  <c r="T139" i="27"/>
  <c r="L139" i="27" l="1"/>
  <c r="D153" i="27"/>
  <c r="D154" i="27" s="1"/>
  <c r="G141" i="27"/>
  <c r="G143" i="27"/>
  <c r="G147" i="27"/>
  <c r="G149" i="27"/>
  <c r="G146" i="27"/>
  <c r="G152" i="27"/>
  <c r="G142" i="27"/>
  <c r="G148" i="27"/>
  <c r="G145" i="27"/>
  <c r="G151" i="27"/>
  <c r="G144" i="27"/>
  <c r="G150" i="27"/>
  <c r="H146" i="27"/>
  <c r="H152" i="27"/>
  <c r="H145" i="27"/>
  <c r="H151" i="27"/>
  <c r="H144" i="27"/>
  <c r="H150" i="27"/>
  <c r="H143" i="27"/>
  <c r="H149" i="27"/>
  <c r="H142" i="27"/>
  <c r="H148" i="27"/>
  <c r="H147" i="27"/>
  <c r="H141" i="27"/>
  <c r="E153" i="27"/>
  <c r="E154" i="27" s="1"/>
  <c r="F142" i="27"/>
  <c r="F144" i="27"/>
  <c r="F148" i="27"/>
  <c r="F150" i="27"/>
  <c r="F141" i="27"/>
  <c r="F143" i="27"/>
  <c r="F147" i="27"/>
  <c r="F149" i="27"/>
  <c r="F146" i="27"/>
  <c r="F152" i="27"/>
  <c r="F145" i="27"/>
  <c r="F151" i="27"/>
  <c r="T143" i="27"/>
  <c r="N80" i="27"/>
  <c r="N78" i="27"/>
  <c r="N77" i="27"/>
  <c r="N79" i="27"/>
  <c r="N81" i="27"/>
  <c r="T140" i="27"/>
  <c r="T144" i="27"/>
  <c r="T141" i="27"/>
  <c r="T142" i="27"/>
  <c r="S48" i="27"/>
  <c r="S47" i="27"/>
  <c r="S46" i="27"/>
  <c r="S45" i="27"/>
  <c r="S44" i="27"/>
  <c r="S43" i="27"/>
  <c r="Q44" i="27"/>
  <c r="Q43" i="27"/>
  <c r="Q48" i="27"/>
  <c r="Q47" i="27"/>
  <c r="Q46" i="27"/>
  <c r="Q45" i="27"/>
  <c r="R48" i="27"/>
  <c r="R47" i="27"/>
  <c r="R46" i="27"/>
  <c r="R45" i="27"/>
  <c r="R44" i="27"/>
  <c r="R43" i="27"/>
  <c r="U79" i="27"/>
  <c r="O77" i="27"/>
  <c r="O141" i="27"/>
  <c r="U77" i="27"/>
  <c r="O80" i="27"/>
  <c r="O79" i="27"/>
  <c r="U80" i="27"/>
  <c r="U78" i="27"/>
  <c r="U81" i="27"/>
  <c r="P79" i="27"/>
  <c r="P80" i="27"/>
  <c r="P81" i="27"/>
  <c r="P77" i="27"/>
  <c r="P78" i="27"/>
  <c r="C149" i="27" l="1"/>
  <c r="L149" i="27" s="1"/>
  <c r="C147" i="27"/>
  <c r="L147" i="27" s="1"/>
  <c r="C143" i="27"/>
  <c r="L143" i="27" s="1"/>
  <c r="C141" i="27"/>
  <c r="L141" i="27" s="1"/>
  <c r="C150" i="27"/>
  <c r="N143" i="27" s="1"/>
  <c r="C148" i="27"/>
  <c r="N142" i="27" s="1"/>
  <c r="C144" i="27"/>
  <c r="N140" i="27" s="1"/>
  <c r="C142" i="27"/>
  <c r="N139" i="27" s="1"/>
  <c r="C151" i="27"/>
  <c r="L151" i="27" s="1"/>
  <c r="C145" i="27"/>
  <c r="L145" i="27" s="1"/>
  <c r="C152" i="27"/>
  <c r="N144" i="27" s="1"/>
  <c r="C146" i="27"/>
  <c r="N141" i="27" s="1"/>
  <c r="H153" i="27"/>
  <c r="H154" i="27" s="1"/>
  <c r="G153" i="27"/>
  <c r="G154" i="27" s="1"/>
  <c r="F153" i="27"/>
  <c r="F154" i="27" s="1"/>
  <c r="O143" i="27"/>
  <c r="O142" i="27"/>
  <c r="O144" i="27"/>
  <c r="U140" i="27"/>
  <c r="T145" i="27"/>
  <c r="O140" i="27"/>
  <c r="O139" i="27"/>
  <c r="U145" i="27"/>
  <c r="U139" i="27"/>
  <c r="U143" i="27"/>
  <c r="U142" i="27"/>
  <c r="R81" i="27"/>
  <c r="R80" i="27"/>
  <c r="R79" i="27"/>
  <c r="R77" i="27"/>
  <c r="R78" i="27"/>
  <c r="U144" i="27"/>
  <c r="U141" i="27"/>
  <c r="Q80" i="27"/>
  <c r="Q77" i="27"/>
  <c r="Q78" i="27"/>
  <c r="Q81" i="27"/>
  <c r="Q79" i="27"/>
  <c r="S79" i="27"/>
  <c r="S81" i="27"/>
  <c r="S77" i="27"/>
  <c r="S78" i="27"/>
  <c r="S80" i="27"/>
  <c r="P142" i="27"/>
  <c r="P143" i="27"/>
  <c r="P141" i="27"/>
  <c r="P139" i="27"/>
  <c r="P144" i="27"/>
  <c r="P140" i="27"/>
  <c r="C153" i="27" l="1"/>
  <c r="O145" i="27"/>
  <c r="R143" i="27"/>
  <c r="R144" i="27"/>
  <c r="R140" i="27"/>
  <c r="R141" i="27"/>
  <c r="R142" i="27"/>
  <c r="R139" i="27"/>
  <c r="S141" i="27"/>
  <c r="S139" i="27"/>
  <c r="S140" i="27"/>
  <c r="S143" i="27"/>
  <c r="S142" i="27"/>
  <c r="S144" i="27"/>
  <c r="Q139" i="27"/>
  <c r="Q141" i="27"/>
  <c r="Q142" i="27"/>
  <c r="Q144" i="27"/>
  <c r="Q143" i="27"/>
  <c r="Q140" i="27"/>
  <c r="P145" i="27"/>
  <c r="L153" i="27" l="1"/>
  <c r="C154" i="27"/>
  <c r="N145" i="27" s="1"/>
  <c r="S145" i="27"/>
  <c r="Q145" i="27"/>
  <c r="R145" i="27"/>
  <c r="I19" i="8" l="1"/>
  <c r="I17" i="8"/>
  <c r="I16" i="8"/>
  <c r="I14" i="8"/>
  <c r="I13" i="8"/>
  <c r="I11" i="8"/>
  <c r="I10" i="8"/>
  <c r="I8" i="8"/>
  <c r="J13" i="8" l="1"/>
  <c r="J10" i="8"/>
  <c r="J16" i="8"/>
  <c r="J19" i="8"/>
  <c r="J7" i="8"/>
  <c r="A79" i="25"/>
  <c r="A77" i="25"/>
  <c r="A75" i="25"/>
  <c r="A73" i="25"/>
  <c r="A71" i="25"/>
  <c r="A188" i="14"/>
  <c r="A184" i="14"/>
  <c r="A182" i="14"/>
  <c r="A180" i="14"/>
  <c r="A178" i="14"/>
  <c r="A176" i="14"/>
  <c r="K73" i="25" l="1"/>
  <c r="I73" i="25"/>
  <c r="K72" i="25"/>
  <c r="J72" i="25"/>
  <c r="I72" i="25"/>
  <c r="L74" i="25"/>
  <c r="K74" i="25"/>
  <c r="J74" i="25"/>
  <c r="I74" i="25"/>
  <c r="H74" i="25"/>
  <c r="L71" i="25"/>
  <c r="K71" i="25"/>
  <c r="J71" i="25"/>
  <c r="L73" i="25"/>
  <c r="J73" i="25"/>
  <c r="H73" i="25"/>
  <c r="L72" i="25"/>
  <c r="H72" i="25"/>
  <c r="L70" i="25"/>
  <c r="K70" i="25"/>
  <c r="I71" i="25"/>
  <c r="H71" i="25"/>
  <c r="J70" i="25"/>
  <c r="I70" i="25"/>
  <c r="H70" i="25"/>
  <c r="J69" i="25"/>
  <c r="I69" i="25"/>
  <c r="L69" i="25"/>
  <c r="K69" i="25"/>
  <c r="H68" i="25"/>
  <c r="J47" i="25"/>
  <c r="K47" i="25"/>
  <c r="I47" i="25"/>
  <c r="J48" i="25"/>
  <c r="K48" i="25"/>
  <c r="L48" i="25"/>
  <c r="I48" i="25"/>
  <c r="J50" i="25"/>
  <c r="K49" i="25"/>
  <c r="J49" i="25"/>
  <c r="L50" i="25"/>
  <c r="K50" i="25"/>
  <c r="I50" i="25"/>
  <c r="H50" i="25"/>
  <c r="L49" i="25"/>
  <c r="I49" i="25"/>
  <c r="H49" i="25"/>
  <c r="H48" i="25"/>
  <c r="L47" i="25"/>
  <c r="H46" i="25"/>
  <c r="L61" i="25"/>
  <c r="K61" i="25"/>
  <c r="J61" i="25"/>
  <c r="I61" i="25"/>
  <c r="L60" i="25"/>
  <c r="K60" i="25"/>
  <c r="J60" i="25"/>
  <c r="I60" i="25"/>
  <c r="H61" i="25"/>
  <c r="L59" i="25"/>
  <c r="K59" i="25"/>
  <c r="J59" i="25"/>
  <c r="I59" i="25"/>
  <c r="H60" i="25"/>
  <c r="H59" i="25"/>
  <c r="L58" i="25"/>
  <c r="K58" i="25"/>
  <c r="J58" i="25"/>
  <c r="I58" i="25"/>
  <c r="H57" i="25"/>
  <c r="L37" i="25"/>
  <c r="K37" i="25"/>
  <c r="J37" i="25"/>
  <c r="I37" i="25"/>
  <c r="L36" i="25"/>
  <c r="K36" i="25"/>
  <c r="J36" i="25"/>
  <c r="I36" i="25"/>
  <c r="L35" i="25"/>
  <c r="K35" i="25"/>
  <c r="J35" i="25"/>
  <c r="I35" i="25"/>
  <c r="L34" i="25"/>
  <c r="K34" i="25"/>
  <c r="J34" i="25"/>
  <c r="I34" i="25"/>
  <c r="L33" i="25"/>
  <c r="K33" i="25"/>
  <c r="J33" i="25"/>
  <c r="I33" i="25"/>
  <c r="K32" i="25"/>
  <c r="J32" i="25"/>
  <c r="I32" i="25"/>
  <c r="L32" i="25"/>
  <c r="H31" i="25"/>
  <c r="F31" i="25"/>
  <c r="L31" i="25" s="1"/>
  <c r="L20" i="25"/>
  <c r="K20" i="25"/>
  <c r="J20" i="25"/>
  <c r="I20" i="25"/>
  <c r="L19" i="25"/>
  <c r="K19" i="25"/>
  <c r="J19" i="25"/>
  <c r="I19" i="25"/>
  <c r="L18" i="25"/>
  <c r="K18" i="25"/>
  <c r="J18" i="25"/>
  <c r="I18" i="25"/>
  <c r="L17" i="25"/>
  <c r="J17" i="25"/>
  <c r="L16" i="25"/>
  <c r="K16" i="25"/>
  <c r="J16" i="25"/>
  <c r="K17" i="25"/>
  <c r="J13" i="25"/>
  <c r="I13" i="25"/>
  <c r="L13" i="25"/>
  <c r="K13" i="25"/>
  <c r="L12" i="25"/>
  <c r="H12" i="25"/>
  <c r="E12" i="25"/>
  <c r="K12" i="25" s="1"/>
  <c r="D12" i="25"/>
  <c r="D31" i="25" s="1"/>
  <c r="D46" i="25" s="1"/>
  <c r="J46" i="25" s="1"/>
  <c r="C12" i="25"/>
  <c r="I12" i="25" s="1"/>
  <c r="B12" i="25"/>
  <c r="B31" i="25" s="1"/>
  <c r="B57" i="25" s="1"/>
  <c r="B11" i="25"/>
  <c r="L5" i="25"/>
  <c r="I5" i="25"/>
  <c r="K5" i="25"/>
  <c r="J5" i="25"/>
  <c r="L2" i="25"/>
  <c r="K2" i="25"/>
  <c r="J2" i="25"/>
  <c r="I2" i="25"/>
  <c r="H2" i="25"/>
  <c r="B87" i="23"/>
  <c r="B86" i="23"/>
  <c r="B85" i="23"/>
  <c r="B84" i="23"/>
  <c r="B83" i="23"/>
  <c r="B82" i="23"/>
  <c r="B81" i="23"/>
  <c r="B80" i="23"/>
  <c r="B79" i="23"/>
  <c r="B78" i="23"/>
  <c r="B77" i="23"/>
  <c r="A76" i="23"/>
  <c r="R76" i="23" s="1"/>
  <c r="B57" i="23"/>
  <c r="B56" i="23"/>
  <c r="B55" i="23"/>
  <c r="B54" i="23"/>
  <c r="B53" i="23"/>
  <c r="B52" i="23"/>
  <c r="B51" i="23"/>
  <c r="B50" i="23"/>
  <c r="B49" i="23"/>
  <c r="B48" i="23"/>
  <c r="B43" i="23"/>
  <c r="B42" i="23"/>
  <c r="A41" i="23"/>
  <c r="R41" i="23" s="1"/>
  <c r="A56" i="23"/>
  <c r="R48" i="23" s="1"/>
  <c r="A54" i="23"/>
  <c r="R47" i="23" s="1"/>
  <c r="A52" i="23"/>
  <c r="R46" i="23" s="1"/>
  <c r="A50" i="23"/>
  <c r="R45" i="23" s="1"/>
  <c r="A48" i="23"/>
  <c r="R44" i="23" s="1"/>
  <c r="R43" i="23"/>
  <c r="B21" i="23"/>
  <c r="B60" i="23" s="1"/>
  <c r="B20" i="23"/>
  <c r="B18" i="23"/>
  <c r="B17" i="23"/>
  <c r="B16" i="23"/>
  <c r="B15" i="23"/>
  <c r="B14" i="23"/>
  <c r="B13" i="23"/>
  <c r="B12" i="23"/>
  <c r="B41" i="23" s="1"/>
  <c r="B76" i="23" s="1"/>
  <c r="A12" i="23"/>
  <c r="R12" i="23" s="1"/>
  <c r="A17" i="23"/>
  <c r="R14" i="23" s="1"/>
  <c r="A15" i="23"/>
  <c r="R13" i="23" s="1"/>
  <c r="A42" i="23"/>
  <c r="D6" i="25" l="1"/>
  <c r="J4" i="25" s="1"/>
  <c r="L4" i="25"/>
  <c r="E6" i="25"/>
  <c r="K4" i="25" s="1"/>
  <c r="B30" i="25"/>
  <c r="B59" i="23"/>
  <c r="AB42" i="23"/>
  <c r="X42" i="23"/>
  <c r="T42" i="23"/>
  <c r="W42" i="23"/>
  <c r="V42" i="23"/>
  <c r="AC42" i="23"/>
  <c r="Y42" i="23"/>
  <c r="U42" i="23"/>
  <c r="AA42" i="23"/>
  <c r="Z42" i="23"/>
  <c r="A61" i="23"/>
  <c r="A77" i="23" s="1"/>
  <c r="C60" i="23"/>
  <c r="AC43" i="23"/>
  <c r="V43" i="23"/>
  <c r="AA43" i="23"/>
  <c r="T43" i="23"/>
  <c r="Y43" i="23"/>
  <c r="U43" i="23"/>
  <c r="W43" i="23"/>
  <c r="Z43" i="23"/>
  <c r="AB43" i="23"/>
  <c r="X43" i="23"/>
  <c r="D68" i="25"/>
  <c r="J68" i="25" s="1"/>
  <c r="F46" i="25"/>
  <c r="B46" i="25"/>
  <c r="B68" i="25" s="1"/>
  <c r="E31" i="25"/>
  <c r="F57" i="25"/>
  <c r="L57" i="25" s="1"/>
  <c r="J12" i="25"/>
  <c r="J31" i="25"/>
  <c r="D57" i="25"/>
  <c r="J57" i="25" s="1"/>
  <c r="C31" i="25"/>
  <c r="C46" i="25" s="1"/>
  <c r="B56" i="25" l="1"/>
  <c r="B45" i="25"/>
  <c r="B67" i="25"/>
  <c r="I46" i="25"/>
  <c r="C68" i="25"/>
  <c r="I68" i="25" s="1"/>
  <c r="L46" i="25"/>
  <c r="F68" i="25"/>
  <c r="L68" i="25" s="1"/>
  <c r="K31" i="25"/>
  <c r="E46" i="25"/>
  <c r="AE12" i="23"/>
  <c r="E57" i="25"/>
  <c r="K57" i="25" s="1"/>
  <c r="C57" i="25"/>
  <c r="I57" i="25" s="1"/>
  <c r="I31" i="25"/>
  <c r="Y14" i="23"/>
  <c r="Y13" i="23"/>
  <c r="AE14" i="23" l="1"/>
  <c r="AE13" i="23"/>
  <c r="K46" i="25"/>
  <c r="E68" i="25"/>
  <c r="K68" i="25" s="1"/>
  <c r="X13" i="23"/>
  <c r="X14" i="23"/>
  <c r="T14" i="23"/>
  <c r="T13" i="23"/>
  <c r="AC14" i="23"/>
  <c r="AC13" i="23"/>
  <c r="V14" i="23"/>
  <c r="V13" i="23"/>
  <c r="S13" i="23"/>
  <c r="S14" i="23"/>
  <c r="U14" i="23"/>
  <c r="U13" i="23"/>
  <c r="W14" i="23"/>
  <c r="W13" i="23"/>
  <c r="Z14" i="23"/>
  <c r="Z13" i="23"/>
  <c r="Y12" i="23"/>
  <c r="AA13" i="23"/>
  <c r="AA14" i="23"/>
  <c r="AD14" i="23"/>
  <c r="AD13" i="23"/>
  <c r="AB13" i="23"/>
  <c r="AB14" i="23"/>
  <c r="Y48" i="23" l="1"/>
  <c r="Y47" i="23"/>
  <c r="Y46" i="23"/>
  <c r="Y45" i="23"/>
  <c r="Y44" i="23"/>
  <c r="AC12" i="23"/>
  <c r="U12" i="23"/>
  <c r="AE41" i="23"/>
  <c r="Z12" i="23"/>
  <c r="AD12" i="23"/>
  <c r="V12" i="23"/>
  <c r="X12" i="23"/>
  <c r="AB12" i="23"/>
  <c r="AA12" i="23"/>
  <c r="S12" i="23"/>
  <c r="W12" i="23"/>
  <c r="T12" i="23"/>
  <c r="Y41" i="23"/>
  <c r="S48" i="23" l="1"/>
  <c r="S46" i="23"/>
  <c r="S45" i="23"/>
  <c r="S47" i="23"/>
  <c r="AB48" i="23"/>
  <c r="AB47" i="23"/>
  <c r="AB46" i="23"/>
  <c r="AB45" i="23"/>
  <c r="AB44" i="23"/>
  <c r="AA48" i="23"/>
  <c r="AA47" i="23"/>
  <c r="AA46" i="23"/>
  <c r="AA45" i="23"/>
  <c r="AA44" i="23"/>
  <c r="AE48" i="23"/>
  <c r="AE47" i="23"/>
  <c r="AE46" i="23"/>
  <c r="AE45" i="23"/>
  <c r="AE44" i="23"/>
  <c r="T48" i="23"/>
  <c r="T47" i="23"/>
  <c r="T46" i="23"/>
  <c r="T45" i="23"/>
  <c r="T44" i="23"/>
  <c r="AC44" i="23"/>
  <c r="AC45" i="23"/>
  <c r="AC48" i="23"/>
  <c r="AC47" i="23"/>
  <c r="AC46" i="23"/>
  <c r="Z45" i="23"/>
  <c r="Z48" i="23"/>
  <c r="Z44" i="23"/>
  <c r="Z47" i="23"/>
  <c r="Z46" i="23"/>
  <c r="U48" i="23"/>
  <c r="U47" i="23"/>
  <c r="U46" i="23"/>
  <c r="U45" i="23"/>
  <c r="U44" i="23"/>
  <c r="V46" i="23"/>
  <c r="V47" i="23"/>
  <c r="V45" i="23"/>
  <c r="V44" i="23"/>
  <c r="Y81" i="23"/>
  <c r="Y80" i="23"/>
  <c r="Y79" i="23"/>
  <c r="Y78" i="23"/>
  <c r="Y77" i="23"/>
  <c r="W47" i="23"/>
  <c r="W45" i="23"/>
  <c r="W48" i="23"/>
  <c r="W46" i="23"/>
  <c r="W44" i="23"/>
  <c r="X48" i="23"/>
  <c r="X47" i="23"/>
  <c r="X46" i="23"/>
  <c r="X45" i="23"/>
  <c r="X44" i="23"/>
  <c r="AD45" i="23"/>
  <c r="AD47" i="23"/>
  <c r="AD46" i="23"/>
  <c r="AD48" i="23"/>
  <c r="AD44" i="23"/>
  <c r="V48" i="23"/>
  <c r="V41" i="23"/>
  <c r="Y76" i="23"/>
  <c r="U41" i="23"/>
  <c r="T41" i="23"/>
  <c r="W41" i="23"/>
  <c r="Z41" i="23"/>
  <c r="S41" i="23"/>
  <c r="AA41" i="23"/>
  <c r="AE76" i="23"/>
  <c r="AB41" i="23"/>
  <c r="X41" i="23"/>
  <c r="AD41" i="23"/>
  <c r="AC41" i="23"/>
  <c r="S81" i="23" l="1"/>
  <c r="S79" i="23"/>
  <c r="S77" i="23"/>
  <c r="S80" i="23"/>
  <c r="S78" i="23"/>
  <c r="AC78" i="23"/>
  <c r="AC81" i="23"/>
  <c r="AC80" i="23"/>
  <c r="AC79" i="23"/>
  <c r="AC77" i="23"/>
  <c r="AB81" i="23"/>
  <c r="AB80" i="23"/>
  <c r="AB79" i="23"/>
  <c r="AB78" i="23"/>
  <c r="AB77" i="23"/>
  <c r="AE81" i="23"/>
  <c r="AE80" i="23"/>
  <c r="AE79" i="23"/>
  <c r="AE78" i="23"/>
  <c r="AE77" i="23"/>
  <c r="AA81" i="23"/>
  <c r="AA80" i="23"/>
  <c r="AA79" i="23"/>
  <c r="AA78" i="23"/>
  <c r="AA77" i="23"/>
  <c r="T81" i="23"/>
  <c r="T80" i="23"/>
  <c r="T79" i="23"/>
  <c r="T78" i="23"/>
  <c r="T77" i="23"/>
  <c r="Z81" i="23"/>
  <c r="Z77" i="23"/>
  <c r="Z78" i="23"/>
  <c r="Z80" i="23"/>
  <c r="Z79" i="23"/>
  <c r="U81" i="23"/>
  <c r="U80" i="23"/>
  <c r="U79" i="23"/>
  <c r="U78" i="23"/>
  <c r="U77" i="23"/>
  <c r="X81" i="23"/>
  <c r="X80" i="23"/>
  <c r="X79" i="23"/>
  <c r="X78" i="23"/>
  <c r="X77" i="23"/>
  <c r="V81" i="23"/>
  <c r="V78" i="23"/>
  <c r="V80" i="23"/>
  <c r="V79" i="23"/>
  <c r="V77" i="23"/>
  <c r="AD81" i="23"/>
  <c r="AD80" i="23"/>
  <c r="AD77" i="23"/>
  <c r="AD79" i="23"/>
  <c r="AD78" i="23"/>
  <c r="W78" i="23"/>
  <c r="W81" i="23"/>
  <c r="W80" i="23"/>
  <c r="W79" i="23"/>
  <c r="W77" i="23"/>
  <c r="Z76" i="23"/>
  <c r="T76" i="23"/>
  <c r="AB76" i="23"/>
  <c r="AA76" i="23"/>
  <c r="W76" i="23"/>
  <c r="U76" i="23"/>
  <c r="AC76" i="23"/>
  <c r="X76" i="23"/>
  <c r="AD76" i="23"/>
  <c r="S76" i="23"/>
  <c r="V76" i="23"/>
  <c r="B88" i="21" l="1"/>
  <c r="B87" i="21"/>
  <c r="B86" i="21"/>
  <c r="B85" i="21"/>
  <c r="B84" i="21"/>
  <c r="B83" i="21"/>
  <c r="B82" i="21"/>
  <c r="B81" i="21"/>
  <c r="B80" i="21"/>
  <c r="B79" i="21"/>
  <c r="B78" i="21"/>
  <c r="B77" i="21"/>
  <c r="A76" i="21"/>
  <c r="R76" i="21" s="1"/>
  <c r="A87" i="21"/>
  <c r="R81" i="21" s="1"/>
  <c r="A85" i="21"/>
  <c r="R80" i="21" s="1"/>
  <c r="A83" i="21"/>
  <c r="R79" i="21" s="1"/>
  <c r="A81" i="21"/>
  <c r="R78" i="21" s="1"/>
  <c r="A79" i="21"/>
  <c r="R77" i="21" s="1"/>
  <c r="A41" i="21"/>
  <c r="R41" i="21" s="1"/>
  <c r="A56" i="21"/>
  <c r="R48" i="21" s="1"/>
  <c r="A54" i="21"/>
  <c r="R47" i="21" s="1"/>
  <c r="A52" i="21"/>
  <c r="R46" i="21" s="1"/>
  <c r="A50" i="21"/>
  <c r="R45" i="21" s="1"/>
  <c r="A48" i="21"/>
  <c r="R44" i="21" s="1"/>
  <c r="A46" i="21"/>
  <c r="R43" i="21" s="1"/>
  <c r="B21" i="21"/>
  <c r="B60" i="21" s="1"/>
  <c r="B20" i="21"/>
  <c r="B18" i="21"/>
  <c r="B17" i="21"/>
  <c r="B16" i="21"/>
  <c r="B15" i="21"/>
  <c r="B14" i="21"/>
  <c r="B13" i="21"/>
  <c r="B12" i="21"/>
  <c r="B41" i="21" s="1"/>
  <c r="B76" i="21" s="1"/>
  <c r="A12" i="21"/>
  <c r="R12" i="21" s="1"/>
  <c r="A17" i="21"/>
  <c r="R14" i="21" s="1"/>
  <c r="A15" i="21"/>
  <c r="R13" i="21" s="1"/>
  <c r="A13" i="21"/>
  <c r="A22" i="21" s="1"/>
  <c r="A42" i="21" s="1"/>
  <c r="P51" i="19"/>
  <c r="N51" i="19"/>
  <c r="L51" i="19"/>
  <c r="J51" i="19"/>
  <c r="O50" i="19"/>
  <c r="M50" i="19"/>
  <c r="K50" i="19"/>
  <c r="P52" i="19"/>
  <c r="O52" i="19"/>
  <c r="N52" i="19"/>
  <c r="M52" i="19"/>
  <c r="L52" i="19"/>
  <c r="K52" i="19"/>
  <c r="J52" i="19"/>
  <c r="O51" i="19"/>
  <c r="M51" i="19"/>
  <c r="K51" i="19"/>
  <c r="J49" i="19"/>
  <c r="P50" i="19"/>
  <c r="N50" i="19"/>
  <c r="L50" i="19"/>
  <c r="J50" i="19"/>
  <c r="P49" i="19"/>
  <c r="O49" i="19"/>
  <c r="N49" i="19"/>
  <c r="M49" i="19"/>
  <c r="L49" i="19"/>
  <c r="K49" i="19"/>
  <c r="P48" i="19"/>
  <c r="O48" i="19"/>
  <c r="N48" i="19"/>
  <c r="M48" i="19"/>
  <c r="L48" i="19"/>
  <c r="K48" i="19"/>
  <c r="J48" i="19"/>
  <c r="P47" i="19"/>
  <c r="N47" i="19"/>
  <c r="L47" i="19"/>
  <c r="O47" i="19"/>
  <c r="M47" i="19"/>
  <c r="K47" i="19"/>
  <c r="J46" i="19"/>
  <c r="P37" i="19"/>
  <c r="O37" i="19"/>
  <c r="N37" i="19"/>
  <c r="K37" i="19"/>
  <c r="N36" i="19"/>
  <c r="M36" i="19"/>
  <c r="K36" i="19"/>
  <c r="P35" i="19"/>
  <c r="N35" i="19"/>
  <c r="M35" i="19"/>
  <c r="L35" i="19"/>
  <c r="M37" i="19"/>
  <c r="L37" i="19"/>
  <c r="O34" i="19"/>
  <c r="M34" i="19"/>
  <c r="L34" i="19"/>
  <c r="K34" i="19"/>
  <c r="P36" i="19"/>
  <c r="O36" i="19"/>
  <c r="L36" i="19"/>
  <c r="O35" i="19"/>
  <c r="K35" i="19"/>
  <c r="P33" i="19"/>
  <c r="M33" i="19"/>
  <c r="L33" i="19"/>
  <c r="P34" i="19"/>
  <c r="N34" i="19"/>
  <c r="O33" i="19"/>
  <c r="N33" i="19"/>
  <c r="K33" i="19"/>
  <c r="P32" i="19"/>
  <c r="O32" i="19"/>
  <c r="N32" i="19"/>
  <c r="M32" i="19"/>
  <c r="L32" i="19"/>
  <c r="K32" i="19"/>
  <c r="J31" i="19"/>
  <c r="P31" i="19"/>
  <c r="P20" i="19"/>
  <c r="N20" i="19"/>
  <c r="M20" i="19"/>
  <c r="P19" i="19"/>
  <c r="O19" i="19"/>
  <c r="M19" i="19"/>
  <c r="L19" i="19"/>
  <c r="K19" i="19"/>
  <c r="P18" i="19"/>
  <c r="O18" i="19"/>
  <c r="N18" i="19"/>
  <c r="L18" i="19"/>
  <c r="K18" i="19"/>
  <c r="O17" i="19"/>
  <c r="N17" i="19"/>
  <c r="M17" i="19"/>
  <c r="K17" i="19"/>
  <c r="O20" i="19"/>
  <c r="K20" i="19"/>
  <c r="N19" i="19"/>
  <c r="P16" i="19"/>
  <c r="N16" i="19"/>
  <c r="M18" i="19"/>
  <c r="P17" i="19"/>
  <c r="L17" i="19"/>
  <c r="M15" i="19"/>
  <c r="L15" i="19"/>
  <c r="K15" i="19"/>
  <c r="O16" i="19"/>
  <c r="M16" i="19"/>
  <c r="K16" i="19"/>
  <c r="P15" i="19"/>
  <c r="O15" i="19"/>
  <c r="N15" i="19"/>
  <c r="P13" i="19"/>
  <c r="O13" i="19"/>
  <c r="N13" i="19"/>
  <c r="L13" i="19"/>
  <c r="Q13" i="19" s="1"/>
  <c r="M13" i="19"/>
  <c r="P12" i="19"/>
  <c r="J12" i="19"/>
  <c r="M31" i="19"/>
  <c r="L31" i="19"/>
  <c r="B12" i="19"/>
  <c r="B31" i="19" s="1"/>
  <c r="B46" i="19" s="1"/>
  <c r="P5" i="19"/>
  <c r="N5" i="19"/>
  <c r="M5" i="19"/>
  <c r="K5" i="19"/>
  <c r="O5" i="19"/>
  <c r="L5" i="19"/>
  <c r="P2" i="19"/>
  <c r="O2" i="19"/>
  <c r="N2" i="19"/>
  <c r="M2" i="19"/>
  <c r="L2" i="19"/>
  <c r="K2" i="19"/>
  <c r="J2" i="19"/>
  <c r="AB42" i="21" l="1"/>
  <c r="X42" i="21"/>
  <c r="T42" i="21"/>
  <c r="AA42" i="21"/>
  <c r="W42" i="21"/>
  <c r="S42" i="21"/>
  <c r="Z42" i="21"/>
  <c r="AC42" i="21"/>
  <c r="Y42" i="21"/>
  <c r="U42" i="21"/>
  <c r="V42" i="21"/>
  <c r="R36" i="19"/>
  <c r="Q18" i="19"/>
  <c r="R37" i="19"/>
  <c r="R50" i="19"/>
  <c r="Q33" i="19"/>
  <c r="Q49" i="19"/>
  <c r="Q47" i="19"/>
  <c r="R19" i="19"/>
  <c r="R17" i="19"/>
  <c r="A61" i="21"/>
  <c r="A77" i="21" s="1"/>
  <c r="C60" i="21"/>
  <c r="AB43" i="21"/>
  <c r="T43" i="21"/>
  <c r="U43" i="21"/>
  <c r="Y43" i="21"/>
  <c r="AC43" i="21"/>
  <c r="X43" i="21"/>
  <c r="V43" i="21"/>
  <c r="AA43" i="21"/>
  <c r="Z43" i="21"/>
  <c r="W43" i="21"/>
  <c r="B59" i="21"/>
  <c r="Q51" i="19"/>
  <c r="Q36" i="19"/>
  <c r="R34" i="19"/>
  <c r="R32" i="19"/>
  <c r="R13" i="19"/>
  <c r="H46" i="19"/>
  <c r="P46" i="19" s="1"/>
  <c r="D46" i="19"/>
  <c r="L46" i="19" s="1"/>
  <c r="E46" i="19"/>
  <c r="M46" i="19" s="1"/>
  <c r="Q48" i="19"/>
  <c r="R51" i="19"/>
  <c r="Q52" i="19"/>
  <c r="R33" i="19"/>
  <c r="Q35" i="19"/>
  <c r="Q32" i="19"/>
  <c r="R35" i="19"/>
  <c r="R16" i="19"/>
  <c r="R15" i="19"/>
  <c r="R18" i="19"/>
  <c r="R20" i="19"/>
  <c r="R5" i="19"/>
  <c r="R52" i="19"/>
  <c r="Q50" i="19"/>
  <c r="R49" i="19"/>
  <c r="R48" i="19"/>
  <c r="R47" i="19"/>
  <c r="Q15" i="19"/>
  <c r="Q17" i="19"/>
  <c r="L12" i="19"/>
  <c r="M12" i="19"/>
  <c r="Q5" i="19"/>
  <c r="Q19" i="19"/>
  <c r="Q34" i="19"/>
  <c r="Q37" i="19"/>
  <c r="L20" i="19"/>
  <c r="Q20" i="19" s="1"/>
  <c r="N12" i="19"/>
  <c r="L16" i="19"/>
  <c r="Q16" i="19" s="1"/>
  <c r="K12" i="19"/>
  <c r="O12" i="19"/>
  <c r="B11" i="19"/>
  <c r="G6" i="19" l="1"/>
  <c r="O4" i="19" s="1"/>
  <c r="F6" i="19"/>
  <c r="N4" i="19" s="1"/>
  <c r="E6" i="19"/>
  <c r="M4" i="19" s="1"/>
  <c r="H6" i="19"/>
  <c r="P4" i="19" s="1"/>
  <c r="D6" i="19"/>
  <c r="L4" i="19" s="1"/>
  <c r="C6" i="19"/>
  <c r="K4" i="19" s="1"/>
  <c r="S36" i="19"/>
  <c r="S50" i="19"/>
  <c r="S37" i="19"/>
  <c r="S47" i="19"/>
  <c r="S33" i="19"/>
  <c r="S18" i="19"/>
  <c r="S19" i="19"/>
  <c r="S51" i="19"/>
  <c r="S49" i="19"/>
  <c r="S32" i="19"/>
  <c r="S17" i="19"/>
  <c r="S13" i="19"/>
  <c r="S34" i="19"/>
  <c r="S16" i="19"/>
  <c r="S15" i="19"/>
  <c r="S52" i="19"/>
  <c r="S48" i="19"/>
  <c r="S35" i="19"/>
  <c r="S20" i="19"/>
  <c r="S5" i="19"/>
  <c r="O31" i="19"/>
  <c r="G46" i="19"/>
  <c r="O46" i="19" s="1"/>
  <c r="K31" i="19"/>
  <c r="C46" i="19"/>
  <c r="K46" i="19" s="1"/>
  <c r="N31" i="19"/>
  <c r="F46" i="19"/>
  <c r="N46" i="19" s="1"/>
  <c r="AC14" i="21"/>
  <c r="B30" i="19"/>
  <c r="Q4" i="19" l="1"/>
  <c r="S4" i="19" s="1"/>
  <c r="R4" i="19"/>
  <c r="H4" i="19"/>
  <c r="D4" i="19"/>
  <c r="G4" i="19"/>
  <c r="F4" i="19"/>
  <c r="E4" i="19"/>
  <c r="C4" i="19"/>
  <c r="B8" i="19"/>
  <c r="B6" i="19"/>
  <c r="B45" i="19"/>
  <c r="AC12" i="21"/>
  <c r="AC13" i="21"/>
  <c r="V14" i="21"/>
  <c r="V13" i="21"/>
  <c r="S14" i="21"/>
  <c r="S13" i="21"/>
  <c r="AD14" i="21"/>
  <c r="AD13" i="21"/>
  <c r="T13" i="21"/>
  <c r="T14" i="21"/>
  <c r="U14" i="21"/>
  <c r="U13" i="21"/>
  <c r="W14" i="21"/>
  <c r="W13" i="21"/>
  <c r="AE14" i="21"/>
  <c r="AE13" i="21"/>
  <c r="AA14" i="21"/>
  <c r="AA13" i="21"/>
  <c r="Y14" i="21"/>
  <c r="Y13" i="21"/>
  <c r="Z14" i="21"/>
  <c r="Z13" i="21"/>
  <c r="X13" i="21"/>
  <c r="X14" i="21"/>
  <c r="AB13" i="21"/>
  <c r="AB14" i="21"/>
  <c r="N3" i="19" l="1"/>
  <c r="O3" i="19"/>
  <c r="L3" i="19"/>
  <c r="M3" i="19"/>
  <c r="P3" i="19"/>
  <c r="K3" i="19"/>
  <c r="AC44" i="21"/>
  <c r="V12" i="21"/>
  <c r="X12" i="21"/>
  <c r="U12" i="21"/>
  <c r="AA12" i="21"/>
  <c r="Y12" i="21"/>
  <c r="W12" i="21"/>
  <c r="AD12" i="21"/>
  <c r="S12" i="21"/>
  <c r="T12" i="21"/>
  <c r="Z12" i="21"/>
  <c r="AE12" i="21"/>
  <c r="AB12" i="21"/>
  <c r="Q3" i="19" l="1"/>
  <c r="R3" i="19"/>
  <c r="S48" i="21"/>
  <c r="S46" i="21"/>
  <c r="S44" i="21"/>
  <c r="S47" i="21"/>
  <c r="S45" i="21"/>
  <c r="S43" i="21"/>
  <c r="AC48" i="21"/>
  <c r="AC45" i="21"/>
  <c r="AC41" i="21"/>
  <c r="AC46" i="21"/>
  <c r="AC47" i="21"/>
  <c r="X48" i="21"/>
  <c r="X47" i="21"/>
  <c r="X46" i="21"/>
  <c r="X45" i="21"/>
  <c r="X44" i="21"/>
  <c r="Z48" i="21"/>
  <c r="Z47" i="21"/>
  <c r="Z46" i="21"/>
  <c r="Z45" i="21"/>
  <c r="Z44" i="21"/>
  <c r="AA47" i="21"/>
  <c r="AA46" i="21"/>
  <c r="AA44" i="21"/>
  <c r="AA45" i="21"/>
  <c r="AA48" i="21"/>
  <c r="AD48" i="21"/>
  <c r="AD47" i="21"/>
  <c r="AD46" i="21"/>
  <c r="AD45" i="21"/>
  <c r="AD44" i="21"/>
  <c r="AB48" i="21"/>
  <c r="AB47" i="21"/>
  <c r="AB46" i="21"/>
  <c r="AB45" i="21"/>
  <c r="AB44" i="21"/>
  <c r="W45" i="21"/>
  <c r="W47" i="21"/>
  <c r="W46" i="21"/>
  <c r="W44" i="21"/>
  <c r="W48" i="21"/>
  <c r="U48" i="21"/>
  <c r="U47" i="21"/>
  <c r="U44" i="21"/>
  <c r="U46" i="21"/>
  <c r="U45" i="21"/>
  <c r="V48" i="21"/>
  <c r="V47" i="21"/>
  <c r="V46" i="21"/>
  <c r="V45" i="21"/>
  <c r="V44" i="21"/>
  <c r="T48" i="21"/>
  <c r="T47" i="21"/>
  <c r="T46" i="21"/>
  <c r="T45" i="21"/>
  <c r="T44" i="21"/>
  <c r="Y48" i="21"/>
  <c r="Y47" i="21"/>
  <c r="Y46" i="21"/>
  <c r="Y45" i="21"/>
  <c r="Y44" i="21"/>
  <c r="AE47" i="21"/>
  <c r="AE45" i="21"/>
  <c r="AE48" i="21"/>
  <c r="AE46" i="21"/>
  <c r="AE44" i="21"/>
  <c r="AE41" i="21"/>
  <c r="AD41" i="21"/>
  <c r="U41" i="21"/>
  <c r="Y41" i="21"/>
  <c r="Z41" i="21"/>
  <c r="V41" i="21"/>
  <c r="T41" i="21"/>
  <c r="AB41" i="21"/>
  <c r="S41" i="21"/>
  <c r="W41" i="21"/>
  <c r="AA41" i="21"/>
  <c r="X41" i="21"/>
  <c r="S3" i="19" l="1"/>
  <c r="S80" i="21"/>
  <c r="S78" i="21"/>
  <c r="S79" i="21"/>
  <c r="S81" i="21"/>
  <c r="S77" i="21"/>
  <c r="AC76" i="21"/>
  <c r="AC81" i="21"/>
  <c r="AC80" i="21"/>
  <c r="AC77" i="21"/>
  <c r="AC79" i="21"/>
  <c r="AC78" i="21"/>
  <c r="AA81" i="21"/>
  <c r="AA79" i="21"/>
  <c r="AA77" i="21"/>
  <c r="AA80" i="21"/>
  <c r="AA78" i="21"/>
  <c r="AE81" i="21"/>
  <c r="AE79" i="21"/>
  <c r="AE77" i="21"/>
  <c r="AE80" i="21"/>
  <c r="AE78" i="21"/>
  <c r="AB81" i="21"/>
  <c r="AB79" i="21"/>
  <c r="AB77" i="21"/>
  <c r="AB78" i="21"/>
  <c r="T80" i="21"/>
  <c r="T78" i="21"/>
  <c r="T81" i="21"/>
  <c r="T79" i="21"/>
  <c r="T77" i="21"/>
  <c r="Z81" i="21"/>
  <c r="Z80" i="21"/>
  <c r="Z79" i="21"/>
  <c r="Z78" i="21"/>
  <c r="Z77" i="21"/>
  <c r="U81" i="21"/>
  <c r="U80" i="21"/>
  <c r="U79" i="21"/>
  <c r="U78" i="21"/>
  <c r="U77" i="21"/>
  <c r="AD81" i="21"/>
  <c r="AD80" i="21"/>
  <c r="AD79" i="21"/>
  <c r="AD78" i="21"/>
  <c r="AD77" i="21"/>
  <c r="Y81" i="21"/>
  <c r="Y80" i="21"/>
  <c r="Y79" i="21"/>
  <c r="Y78" i="21"/>
  <c r="Y77" i="21"/>
  <c r="W81" i="21"/>
  <c r="W80" i="21"/>
  <c r="W79" i="21"/>
  <c r="W78" i="21"/>
  <c r="W77" i="21"/>
  <c r="X81" i="21"/>
  <c r="X80" i="21"/>
  <c r="X79" i="21"/>
  <c r="X78" i="21"/>
  <c r="X77" i="21"/>
  <c r="V81" i="21"/>
  <c r="V80" i="21"/>
  <c r="V79" i="21"/>
  <c r="V78" i="21"/>
  <c r="V77" i="21"/>
  <c r="X76" i="21"/>
  <c r="AB80" i="21"/>
  <c r="AB76" i="21"/>
  <c r="Z76" i="21"/>
  <c r="Y76" i="21"/>
  <c r="U76" i="21"/>
  <c r="W76" i="21"/>
  <c r="V76" i="21"/>
  <c r="AD76" i="21"/>
  <c r="AA76" i="21"/>
  <c r="S76" i="21"/>
  <c r="T76" i="21"/>
  <c r="AE76" i="21"/>
  <c r="A78" i="17" l="1"/>
  <c r="R78" i="17" s="1"/>
  <c r="AE80" i="17"/>
  <c r="AE49" i="17"/>
  <c r="A42" i="17"/>
  <c r="R42" i="17" s="1"/>
  <c r="B22" i="17"/>
  <c r="B62" i="17" s="1"/>
  <c r="AE12" i="17"/>
  <c r="B12" i="17"/>
  <c r="A12" i="17"/>
  <c r="R12" i="17" s="1"/>
  <c r="AE14" i="17"/>
  <c r="AE13" i="17"/>
  <c r="AB43" i="17" l="1"/>
  <c r="X43" i="17"/>
  <c r="T43" i="17"/>
  <c r="AA43" i="17"/>
  <c r="W43" i="17"/>
  <c r="S43" i="17"/>
  <c r="AD43" i="17"/>
  <c r="Z43" i="17"/>
  <c r="V43" i="17"/>
  <c r="AC43" i="17"/>
  <c r="Y43" i="17"/>
  <c r="U43" i="17"/>
  <c r="C62" i="17"/>
  <c r="AE81" i="17"/>
  <c r="AE46" i="17"/>
  <c r="AE45" i="17"/>
  <c r="AE42" i="17"/>
  <c r="AE47" i="17"/>
  <c r="AE82" i="17"/>
  <c r="AE79" i="17"/>
  <c r="AE83" i="17"/>
  <c r="AE48" i="17"/>
  <c r="T190" i="14"/>
  <c r="T189" i="14"/>
  <c r="T188" i="14"/>
  <c r="AI139" i="14"/>
  <c r="AI143" i="14"/>
  <c r="AI142" i="14"/>
  <c r="AI140" i="14"/>
  <c r="AI144" i="14"/>
  <c r="AI141" i="14"/>
  <c r="AI48" i="14"/>
  <c r="AI46" i="14"/>
  <c r="AE78" i="17" l="1"/>
  <c r="AI44" i="14"/>
  <c r="AI78" i="14"/>
  <c r="AI77" i="14"/>
  <c r="AI45" i="14"/>
  <c r="AI79" i="14"/>
  <c r="AI47" i="14"/>
  <c r="AI81" i="14"/>
  <c r="AI80" i="14"/>
  <c r="AI14" i="14"/>
  <c r="AI13" i="14"/>
  <c r="O91" i="14"/>
  <c r="O157" i="14" s="1"/>
  <c r="L91" i="14"/>
  <c r="L157" i="14" s="1"/>
  <c r="K91" i="14"/>
  <c r="K157" i="14" s="1"/>
  <c r="H91" i="14"/>
  <c r="H157" i="14" s="1"/>
  <c r="G91" i="14"/>
  <c r="G157" i="14" s="1"/>
  <c r="F91" i="14"/>
  <c r="F157" i="14" s="1"/>
  <c r="D91" i="14"/>
  <c r="D157" i="14" s="1"/>
  <c r="C21" i="14"/>
  <c r="AH144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A115" i="14"/>
  <c r="A138" i="14" s="1"/>
  <c r="T138" i="14" s="1"/>
  <c r="AH143" i="14"/>
  <c r="AH142" i="14"/>
  <c r="AH141" i="14"/>
  <c r="AH140" i="14"/>
  <c r="AH139" i="14"/>
  <c r="A76" i="14"/>
  <c r="T76" i="14" s="1"/>
  <c r="A41" i="14"/>
  <c r="T41" i="14" s="1"/>
  <c r="AH48" i="14"/>
  <c r="AH46" i="14"/>
  <c r="N91" i="14"/>
  <c r="N157" i="14" s="1"/>
  <c r="M91" i="14"/>
  <c r="M157" i="14" s="1"/>
  <c r="J91" i="14"/>
  <c r="J157" i="14" s="1"/>
  <c r="I91" i="14"/>
  <c r="I157" i="14" s="1"/>
  <c r="E91" i="14"/>
  <c r="E157" i="14" s="1"/>
  <c r="B21" i="14"/>
  <c r="B60" i="14" s="1"/>
  <c r="B91" i="14" s="1"/>
  <c r="B157" i="14" s="1"/>
  <c r="B20" i="14"/>
  <c r="B138" i="14"/>
  <c r="B188" i="14" s="1"/>
  <c r="A12" i="14"/>
  <c r="T12" i="14" s="1"/>
  <c r="AH14" i="14"/>
  <c r="AH13" i="14"/>
  <c r="B153" i="14" l="1"/>
  <c r="B154" i="14" s="1"/>
  <c r="B189" i="14"/>
  <c r="B191" i="14"/>
  <c r="P192" i="14" s="1"/>
  <c r="AH190" i="14" s="1"/>
  <c r="AE42" i="14"/>
  <c r="AA42" i="14"/>
  <c r="W42" i="14"/>
  <c r="X42" i="14"/>
  <c r="AD42" i="14"/>
  <c r="Z42" i="14"/>
  <c r="V42" i="14"/>
  <c r="AB42" i="14"/>
  <c r="AG42" i="14"/>
  <c r="AC42" i="14"/>
  <c r="Y42" i="14"/>
  <c r="U42" i="14"/>
  <c r="AF42" i="14"/>
  <c r="C60" i="14"/>
  <c r="C91" i="14" s="1"/>
  <c r="C157" i="14" s="1"/>
  <c r="Q91" i="14"/>
  <c r="AD12" i="14"/>
  <c r="X12" i="14"/>
  <c r="AH77" i="14"/>
  <c r="AH79" i="14"/>
  <c r="AH45" i="14"/>
  <c r="AH12" i="14"/>
  <c r="AH81" i="14"/>
  <c r="AH47" i="14"/>
  <c r="AI12" i="14"/>
  <c r="AH80" i="14"/>
  <c r="AH78" i="14"/>
  <c r="AH44" i="14"/>
  <c r="B59" i="14"/>
  <c r="P190" i="14" l="1"/>
  <c r="AH189" i="14" s="1"/>
  <c r="Q190" i="14"/>
  <c r="AI189" i="14" s="1"/>
  <c r="Q192" i="14"/>
  <c r="AI190" i="14" s="1"/>
  <c r="B90" i="14"/>
  <c r="Q157" i="14"/>
  <c r="P91" i="14"/>
  <c r="V12" i="14"/>
  <c r="Y12" i="14"/>
  <c r="AA12" i="14"/>
  <c r="AB12" i="14"/>
  <c r="X13" i="14"/>
  <c r="X14" i="14"/>
  <c r="AI41" i="14"/>
  <c r="AD13" i="14"/>
  <c r="AD14" i="14"/>
  <c r="W12" i="14"/>
  <c r="Z12" i="14"/>
  <c r="AC12" i="14"/>
  <c r="AE12" i="14"/>
  <c r="AH41" i="14"/>
  <c r="B156" i="14" l="1"/>
  <c r="P157" i="14"/>
  <c r="S157" i="14" s="1"/>
  <c r="P138" i="14"/>
  <c r="C140" i="14"/>
  <c r="Z45" i="14"/>
  <c r="U12" i="14"/>
  <c r="AC14" i="14"/>
  <c r="AC13" i="14"/>
  <c r="AB13" i="14"/>
  <c r="AB14" i="14"/>
  <c r="U13" i="14"/>
  <c r="U14" i="14"/>
  <c r="AE13" i="14"/>
  <c r="AE14" i="14"/>
  <c r="AF13" i="14"/>
  <c r="AF14" i="14"/>
  <c r="AI76" i="14"/>
  <c r="Q138" i="14"/>
  <c r="AA13" i="14"/>
  <c r="AA14" i="14"/>
  <c r="V13" i="14"/>
  <c r="V14" i="14"/>
  <c r="W13" i="14"/>
  <c r="W14" i="14"/>
  <c r="AH76" i="14"/>
  <c r="Y13" i="14"/>
  <c r="Y14" i="14"/>
  <c r="Z41" i="14"/>
  <c r="Z46" i="14"/>
  <c r="Z48" i="14"/>
  <c r="Z47" i="14"/>
  <c r="Z13" i="14"/>
  <c r="Z14" i="14"/>
  <c r="AG14" i="14"/>
  <c r="AG13" i="14"/>
  <c r="B187" i="14" l="1"/>
  <c r="C139" i="14"/>
  <c r="S139" i="14" s="1"/>
  <c r="Z44" i="14"/>
  <c r="U45" i="14"/>
  <c r="Q188" i="14"/>
  <c r="AI188" i="14" s="1"/>
  <c r="AI138" i="14"/>
  <c r="P188" i="14"/>
  <c r="AH188" i="14" s="1"/>
  <c r="AH138" i="14"/>
  <c r="V41" i="14"/>
  <c r="V47" i="14"/>
  <c r="V48" i="14"/>
  <c r="V44" i="14"/>
  <c r="V45" i="14"/>
  <c r="V46" i="14"/>
  <c r="X41" i="14"/>
  <c r="X45" i="14"/>
  <c r="X46" i="14"/>
  <c r="X48" i="14"/>
  <c r="X44" i="14"/>
  <c r="X47" i="14"/>
  <c r="AF12" i="14"/>
  <c r="AB41" i="14"/>
  <c r="AB44" i="14"/>
  <c r="AB47" i="14"/>
  <c r="AB45" i="14"/>
  <c r="AB46" i="14"/>
  <c r="AB48" i="14"/>
  <c r="AE41" i="14"/>
  <c r="AE44" i="14"/>
  <c r="AE45" i="14"/>
  <c r="AE46" i="14"/>
  <c r="AE47" i="14"/>
  <c r="AE48" i="14"/>
  <c r="W41" i="14"/>
  <c r="W44" i="14"/>
  <c r="W45" i="14"/>
  <c r="W46" i="14"/>
  <c r="W47" i="14"/>
  <c r="W48" i="14"/>
  <c r="Z76" i="14"/>
  <c r="Z77" i="14"/>
  <c r="Z79" i="14"/>
  <c r="Z80" i="14"/>
  <c r="Z81" i="14"/>
  <c r="Z78" i="14"/>
  <c r="Y41" i="14"/>
  <c r="Y48" i="14"/>
  <c r="Y44" i="14"/>
  <c r="Y45" i="14"/>
  <c r="Y46" i="14"/>
  <c r="Y47" i="14"/>
  <c r="AG12" i="14"/>
  <c r="AA41" i="14"/>
  <c r="AA44" i="14"/>
  <c r="AA45" i="14"/>
  <c r="AA46" i="14"/>
  <c r="AA47" i="14"/>
  <c r="AA48" i="14"/>
  <c r="AD41" i="14"/>
  <c r="AD44" i="14"/>
  <c r="AD46" i="14"/>
  <c r="AD48" i="14"/>
  <c r="AD45" i="14"/>
  <c r="AD47" i="14"/>
  <c r="AC41" i="14"/>
  <c r="AC44" i="14"/>
  <c r="AC45" i="14"/>
  <c r="AC46" i="14"/>
  <c r="AC47" i="14"/>
  <c r="AC48" i="14"/>
  <c r="U46" i="14" l="1"/>
  <c r="U41" i="14"/>
  <c r="U48" i="14"/>
  <c r="U47" i="14"/>
  <c r="U76" i="14"/>
  <c r="U44" i="14"/>
  <c r="W76" i="14"/>
  <c r="W78" i="14"/>
  <c r="W80" i="14"/>
  <c r="W81" i="14"/>
  <c r="W77" i="14"/>
  <c r="W79" i="14"/>
  <c r="AF41" i="14"/>
  <c r="AF48" i="14"/>
  <c r="AF44" i="14"/>
  <c r="AF45" i="14"/>
  <c r="AF46" i="14"/>
  <c r="AF47" i="14"/>
  <c r="Y76" i="14"/>
  <c r="Y77" i="14"/>
  <c r="Y78" i="14"/>
  <c r="Y79" i="14"/>
  <c r="Y80" i="14"/>
  <c r="Y81" i="14"/>
  <c r="AD76" i="14"/>
  <c r="AD78" i="14"/>
  <c r="AD81" i="14"/>
  <c r="AD77" i="14"/>
  <c r="AD80" i="14"/>
  <c r="AD79" i="14"/>
  <c r="X76" i="14"/>
  <c r="X77" i="14"/>
  <c r="X80" i="14"/>
  <c r="X78" i="14"/>
  <c r="X79" i="14"/>
  <c r="X81" i="14"/>
  <c r="V76" i="14"/>
  <c r="V78" i="14"/>
  <c r="V79" i="14"/>
  <c r="V80" i="14"/>
  <c r="V77" i="14"/>
  <c r="V81" i="14"/>
  <c r="AE76" i="14"/>
  <c r="AE77" i="14"/>
  <c r="AE79" i="14"/>
  <c r="AE81" i="14"/>
  <c r="AE80" i="14"/>
  <c r="AE78" i="14"/>
  <c r="AA76" i="14"/>
  <c r="AA81" i="14"/>
  <c r="AA79" i="14"/>
  <c r="AA77" i="14"/>
  <c r="AA78" i="14"/>
  <c r="AA80" i="14"/>
  <c r="AB76" i="14"/>
  <c r="AB78" i="14"/>
  <c r="AB80" i="14"/>
  <c r="AB79" i="14"/>
  <c r="AB77" i="14"/>
  <c r="AB81" i="14"/>
  <c r="AC76" i="14"/>
  <c r="AC77" i="14"/>
  <c r="AC78" i="14"/>
  <c r="AC79" i="14"/>
  <c r="AC80" i="14"/>
  <c r="AC81" i="14"/>
  <c r="Z139" i="14"/>
  <c r="Z140" i="14"/>
  <c r="Z141" i="14"/>
  <c r="Z142" i="14"/>
  <c r="Z144" i="14"/>
  <c r="Z143" i="14"/>
  <c r="AG41" i="14"/>
  <c r="AG47" i="14"/>
  <c r="AG44" i="14"/>
  <c r="AG45" i="14"/>
  <c r="AG46" i="14"/>
  <c r="AG48" i="14"/>
  <c r="H138" i="14"/>
  <c r="C148" i="14" l="1"/>
  <c r="U142" i="14" s="1"/>
  <c r="U80" i="14"/>
  <c r="U78" i="14"/>
  <c r="U81" i="14"/>
  <c r="U79" i="14"/>
  <c r="U77" i="14"/>
  <c r="Z138" i="14"/>
  <c r="W139" i="14"/>
  <c r="W140" i="14"/>
  <c r="W141" i="14"/>
  <c r="W142" i="14"/>
  <c r="W143" i="14"/>
  <c r="W144" i="14"/>
  <c r="AD139" i="14"/>
  <c r="AD140" i="14"/>
  <c r="AD141" i="14"/>
  <c r="AD144" i="14"/>
  <c r="AD143" i="14"/>
  <c r="AD142" i="14"/>
  <c r="X140" i="14"/>
  <c r="X143" i="14"/>
  <c r="X139" i="14"/>
  <c r="X141" i="14"/>
  <c r="X142" i="14"/>
  <c r="X144" i="14"/>
  <c r="AB139" i="14"/>
  <c r="AB140" i="14"/>
  <c r="AB141" i="14"/>
  <c r="AB142" i="14"/>
  <c r="AB143" i="14"/>
  <c r="AB144" i="14"/>
  <c r="AF76" i="14"/>
  <c r="AF77" i="14"/>
  <c r="AF80" i="14"/>
  <c r="AF81" i="14"/>
  <c r="AF79" i="14"/>
  <c r="AF78" i="14"/>
  <c r="AE139" i="14"/>
  <c r="AE140" i="14"/>
  <c r="AE141" i="14"/>
  <c r="AE142" i="14"/>
  <c r="AE143" i="14"/>
  <c r="AE144" i="14"/>
  <c r="Y144" i="14"/>
  <c r="Y140" i="14"/>
  <c r="Y143" i="14"/>
  <c r="Y139" i="14"/>
  <c r="Y142" i="14"/>
  <c r="Y141" i="14"/>
  <c r="AG76" i="14"/>
  <c r="AG77" i="14"/>
  <c r="AG78" i="14"/>
  <c r="AG79" i="14"/>
  <c r="AG80" i="14"/>
  <c r="AG81" i="14"/>
  <c r="AA139" i="14"/>
  <c r="AA140" i="14"/>
  <c r="AA141" i="14"/>
  <c r="AA142" i="14"/>
  <c r="AA144" i="14"/>
  <c r="V139" i="14"/>
  <c r="V140" i="14"/>
  <c r="V141" i="14"/>
  <c r="V142" i="14"/>
  <c r="V143" i="14"/>
  <c r="V144" i="14"/>
  <c r="AC139" i="14"/>
  <c r="AC142" i="14"/>
  <c r="AC140" i="14"/>
  <c r="AC144" i="14"/>
  <c r="AC141" i="14"/>
  <c r="AC143" i="14"/>
  <c r="I138" i="14"/>
  <c r="AA143" i="14"/>
  <c r="M138" i="14"/>
  <c r="D138" i="14"/>
  <c r="E138" i="14"/>
  <c r="G138" i="14"/>
  <c r="K138" i="14"/>
  <c r="F138" i="14"/>
  <c r="J138" i="14"/>
  <c r="L138" i="14"/>
  <c r="C145" i="14" l="1"/>
  <c r="S145" i="14" s="1"/>
  <c r="C150" i="14"/>
  <c r="U143" i="14" s="1"/>
  <c r="C138" i="14"/>
  <c r="U138" i="14" s="1"/>
  <c r="C143" i="14"/>
  <c r="S143" i="14" s="1"/>
  <c r="C151" i="14"/>
  <c r="S151" i="14" s="1"/>
  <c r="C147" i="14"/>
  <c r="S147" i="14" s="1"/>
  <c r="C142" i="14"/>
  <c r="U139" i="14" s="1"/>
  <c r="C149" i="14"/>
  <c r="S149" i="14" s="1"/>
  <c r="C144" i="14"/>
  <c r="U140" i="14" s="1"/>
  <c r="C152" i="14"/>
  <c r="U144" i="14" s="1"/>
  <c r="C146" i="14"/>
  <c r="U141" i="14" s="1"/>
  <c r="C141" i="14"/>
  <c r="S141" i="14" s="1"/>
  <c r="H191" i="14"/>
  <c r="H192" i="14" s="1"/>
  <c r="H189" i="14"/>
  <c r="H190" i="14" s="1"/>
  <c r="V138" i="14"/>
  <c r="H188" i="14"/>
  <c r="Z188" i="14" s="1"/>
  <c r="AC138" i="14"/>
  <c r="AD138" i="14"/>
  <c r="X138" i="14"/>
  <c r="AB138" i="14"/>
  <c r="AE138" i="14"/>
  <c r="AA138" i="14"/>
  <c r="Y138" i="14"/>
  <c r="W138" i="14"/>
  <c r="O138" i="14"/>
  <c r="AG142" i="14"/>
  <c r="AG143" i="14"/>
  <c r="AG140" i="14"/>
  <c r="AG141" i="14"/>
  <c r="AG139" i="14"/>
  <c r="AG144" i="14"/>
  <c r="N138" i="14"/>
  <c r="AF141" i="14"/>
  <c r="AF139" i="14"/>
  <c r="AF143" i="14"/>
  <c r="AF140" i="14"/>
  <c r="AF142" i="14"/>
  <c r="AF144" i="14"/>
  <c r="E188" i="14"/>
  <c r="W188" i="14" s="1"/>
  <c r="J188" i="14"/>
  <c r="AB188" i="14" s="1"/>
  <c r="I189" i="14" l="1"/>
  <c r="I190" i="14" s="1"/>
  <c r="AA189" i="14" s="1"/>
  <c r="C153" i="14"/>
  <c r="S153" i="14" s="1"/>
  <c r="M191" i="14"/>
  <c r="M192" i="14" s="1"/>
  <c r="AE190" i="14" s="1"/>
  <c r="M189" i="14"/>
  <c r="M190" i="14" s="1"/>
  <c r="AE189" i="14" s="1"/>
  <c r="D189" i="14"/>
  <c r="D190" i="14" s="1"/>
  <c r="J191" i="14"/>
  <c r="J192" i="14" s="1"/>
  <c r="AB190" i="14" s="1"/>
  <c r="J189" i="14"/>
  <c r="J190" i="14" s="1"/>
  <c r="I191" i="14"/>
  <c r="I192" i="14" s="1"/>
  <c r="E191" i="14"/>
  <c r="E192" i="14" s="1"/>
  <c r="E189" i="14"/>
  <c r="E190" i="14" s="1"/>
  <c r="W189" i="14" s="1"/>
  <c r="K191" i="14"/>
  <c r="K192" i="14" s="1"/>
  <c r="K189" i="14"/>
  <c r="K190" i="14" s="1"/>
  <c r="L191" i="14"/>
  <c r="L192" i="14" s="1"/>
  <c r="AD190" i="14" s="1"/>
  <c r="L189" i="14"/>
  <c r="L190" i="14" s="1"/>
  <c r="D191" i="14"/>
  <c r="D192" i="14" s="1"/>
  <c r="F191" i="14"/>
  <c r="F192" i="14" s="1"/>
  <c r="F189" i="14"/>
  <c r="F190" i="14" s="1"/>
  <c r="X189" i="14" s="1"/>
  <c r="G191" i="14"/>
  <c r="G192" i="14" s="1"/>
  <c r="G189" i="14"/>
  <c r="G190" i="14" s="1"/>
  <c r="Z189" i="14"/>
  <c r="L188" i="14"/>
  <c r="AD188" i="14" s="1"/>
  <c r="K188" i="14"/>
  <c r="AC188" i="14" s="1"/>
  <c r="F188" i="14"/>
  <c r="X188" i="14" s="1"/>
  <c r="M188" i="14"/>
  <c r="AE188" i="14" s="1"/>
  <c r="D188" i="14"/>
  <c r="V188" i="14" s="1"/>
  <c r="I188" i="14"/>
  <c r="AA188" i="14" s="1"/>
  <c r="Z190" i="14"/>
  <c r="C188" i="14"/>
  <c r="U188" i="14" s="1"/>
  <c r="G188" i="14"/>
  <c r="Y188" i="14" s="1"/>
  <c r="AG138" i="14"/>
  <c r="AF138" i="14"/>
  <c r="C191" i="14" l="1"/>
  <c r="O191" i="14"/>
  <c r="O192" i="14" s="1"/>
  <c r="O189" i="14"/>
  <c r="O190" i="14" s="1"/>
  <c r="AG189" i="14" s="1"/>
  <c r="N191" i="14"/>
  <c r="N192" i="14" s="1"/>
  <c r="C189" i="14"/>
  <c r="N189" i="14"/>
  <c r="N190" i="14" s="1"/>
  <c r="V190" i="14"/>
  <c r="V189" i="14"/>
  <c r="AB189" i="14"/>
  <c r="AD189" i="14"/>
  <c r="X190" i="14"/>
  <c r="AC189" i="14"/>
  <c r="Y189" i="14"/>
  <c r="AC190" i="14"/>
  <c r="W190" i="14"/>
  <c r="AA190" i="14"/>
  <c r="Y190" i="14"/>
  <c r="N188" i="14"/>
  <c r="AF188" i="14" s="1"/>
  <c r="O188" i="14"/>
  <c r="AG188" i="14" s="1"/>
  <c r="S189" i="14" l="1"/>
  <c r="S191" i="14"/>
  <c r="C190" i="14"/>
  <c r="U189" i="14" s="1"/>
  <c r="C192" i="14"/>
  <c r="U190" i="14" s="1"/>
  <c r="AF189" i="14"/>
  <c r="AF190" i="14"/>
  <c r="AG190" i="14"/>
  <c r="J81" i="8"/>
  <c r="A85" i="8"/>
  <c r="A110" i="38" s="1"/>
  <c r="A83" i="8"/>
  <c r="A108" i="38" s="1"/>
  <c r="A81" i="8"/>
  <c r="A106" i="38" s="1"/>
  <c r="A79" i="8"/>
  <c r="A104" i="38" s="1"/>
  <c r="A77" i="8"/>
  <c r="A102" i="38" s="1"/>
  <c r="A75" i="8"/>
  <c r="A100" i="38" s="1"/>
  <c r="A73" i="8"/>
  <c r="A98" i="38" s="1"/>
  <c r="A71" i="8"/>
  <c r="A96" i="38" s="1"/>
  <c r="A69" i="8"/>
  <c r="A94" i="38" s="1"/>
  <c r="A62" i="8"/>
  <c r="A71" i="38" s="1"/>
  <c r="A60" i="8"/>
  <c r="A58" i="8"/>
  <c r="A67" i="38" s="1"/>
  <c r="A56" i="8"/>
  <c r="A54" i="8"/>
  <c r="A63" i="38" s="1"/>
  <c r="A47" i="8"/>
  <c r="A36" i="38" s="1"/>
  <c r="A45" i="8"/>
  <c r="A34" i="38" s="1"/>
  <c r="A43" i="8"/>
  <c r="A32" i="38" s="1"/>
  <c r="A41" i="8"/>
  <c r="A30" i="38" s="1"/>
  <c r="A39" i="8"/>
  <c r="A28" i="38" s="1"/>
  <c r="A37" i="8"/>
  <c r="A26" i="38" s="1"/>
  <c r="A28" i="8"/>
  <c r="A7" i="38" s="1"/>
  <c r="A26" i="8"/>
  <c r="A5" i="38" s="1"/>
  <c r="Q81" i="8"/>
  <c r="Q80" i="8"/>
  <c r="P92" i="8" s="1"/>
  <c r="Q79" i="8"/>
  <c r="Q78" i="8"/>
  <c r="P91" i="8" s="1"/>
  <c r="Q77" i="8"/>
  <c r="Q76" i="8"/>
  <c r="P90" i="8" s="1"/>
  <c r="Q75" i="8"/>
  <c r="Q74" i="8"/>
  <c r="P89" i="8" s="1"/>
  <c r="Q73" i="8"/>
  <c r="Q72" i="8"/>
  <c r="P88" i="8" s="1"/>
  <c r="Q71" i="8"/>
  <c r="Q70" i="8"/>
  <c r="P87" i="8" s="1"/>
  <c r="Q69" i="8"/>
  <c r="Q68" i="8"/>
  <c r="P86" i="8" s="1"/>
  <c r="Q67" i="8"/>
  <c r="H66" i="8"/>
  <c r="Q66" i="8" s="1"/>
  <c r="P85" i="8" s="1"/>
  <c r="P57" i="8"/>
  <c r="P56" i="8"/>
  <c r="P55" i="8"/>
  <c r="P54" i="8"/>
  <c r="P53" i="8"/>
  <c r="P52" i="8"/>
  <c r="H51" i="8"/>
  <c r="P51" i="8" s="1"/>
  <c r="P33" i="8"/>
  <c r="P32" i="8"/>
  <c r="A34" i="14" l="1"/>
  <c r="A54" i="38"/>
  <c r="R47" i="38" s="1"/>
  <c r="A96" i="14"/>
  <c r="A120" i="38"/>
  <c r="J93" i="8"/>
  <c r="A153" i="38"/>
  <c r="A36" i="14"/>
  <c r="A56" i="38"/>
  <c r="R48" i="38" s="1"/>
  <c r="A98" i="14"/>
  <c r="A122" i="14" s="1"/>
  <c r="A122" i="38"/>
  <c r="A5" i="14"/>
  <c r="A5" i="17" s="1"/>
  <c r="A5" i="19" s="1"/>
  <c r="A15" i="38"/>
  <c r="R13" i="38" s="1"/>
  <c r="A63" i="14"/>
  <c r="A79" i="38"/>
  <c r="R77" i="38" s="1"/>
  <c r="A124" i="38"/>
  <c r="A100" i="14"/>
  <c r="A7" i="14"/>
  <c r="A17" i="38"/>
  <c r="R14" i="38" s="1"/>
  <c r="A67" i="17"/>
  <c r="A65" i="38"/>
  <c r="A102" i="14"/>
  <c r="A126" i="38"/>
  <c r="A46" i="38"/>
  <c r="R43" i="38" s="1"/>
  <c r="A26" i="14"/>
  <c r="A67" i="14"/>
  <c r="A83" i="38"/>
  <c r="R79" i="38" s="1"/>
  <c r="A104" i="14"/>
  <c r="A128" i="38"/>
  <c r="A28" i="14"/>
  <c r="A48" i="38"/>
  <c r="R44" i="38" s="1"/>
  <c r="A71" i="17"/>
  <c r="A69" i="38"/>
  <c r="A106" i="14"/>
  <c r="A130" i="14" s="1"/>
  <c r="A130" i="38"/>
  <c r="A30" i="14"/>
  <c r="A50" i="38"/>
  <c r="R45" i="38" s="1"/>
  <c r="A71" i="14"/>
  <c r="A87" i="38"/>
  <c r="R81" i="38" s="1"/>
  <c r="A132" i="38"/>
  <c r="A108" i="14"/>
  <c r="A32" i="14"/>
  <c r="A52" i="38"/>
  <c r="R46" i="38" s="1"/>
  <c r="A94" i="14"/>
  <c r="A118" i="38"/>
  <c r="A110" i="14"/>
  <c r="A134" i="14" s="1"/>
  <c r="A134" i="38"/>
  <c r="A65" i="17"/>
  <c r="A34" i="19" s="1"/>
  <c r="A73" i="17"/>
  <c r="A69" i="17"/>
  <c r="J35" i="8"/>
  <c r="A3" i="17"/>
  <c r="A3" i="19" s="1"/>
  <c r="A87" i="23"/>
  <c r="R81" i="23" s="1"/>
  <c r="A85" i="23"/>
  <c r="R80" i="23" s="1"/>
  <c r="A83" i="23"/>
  <c r="R79" i="23" s="1"/>
  <c r="A81" i="23"/>
  <c r="R78" i="23" s="1"/>
  <c r="A79" i="23"/>
  <c r="R77" i="23" s="1"/>
  <c r="M33" i="8"/>
  <c r="N33" i="8"/>
  <c r="P23" i="8"/>
  <c r="K26" i="8"/>
  <c r="Q26" i="8" s="1"/>
  <c r="P80" i="8"/>
  <c r="O92" i="8" s="1"/>
  <c r="O80" i="8"/>
  <c r="N92" i="8" s="1"/>
  <c r="N80" i="8"/>
  <c r="M92" i="8" s="1"/>
  <c r="M80" i="8"/>
  <c r="L92" i="8" s="1"/>
  <c r="L80" i="8"/>
  <c r="K92" i="8" s="1"/>
  <c r="P78" i="8"/>
  <c r="O91" i="8" s="1"/>
  <c r="O78" i="8"/>
  <c r="N91" i="8" s="1"/>
  <c r="N78" i="8"/>
  <c r="M91" i="8" s="1"/>
  <c r="M78" i="8"/>
  <c r="L91" i="8" s="1"/>
  <c r="L78" i="8"/>
  <c r="K91" i="8" s="1"/>
  <c r="P81" i="8"/>
  <c r="O81" i="8"/>
  <c r="N81" i="8"/>
  <c r="M81" i="8"/>
  <c r="L81" i="8"/>
  <c r="K81" i="8"/>
  <c r="K80" i="8"/>
  <c r="P79" i="8"/>
  <c r="O79" i="8"/>
  <c r="N79" i="8"/>
  <c r="M79" i="8"/>
  <c r="L79" i="8"/>
  <c r="K79" i="8"/>
  <c r="J79" i="8"/>
  <c r="A151" i="38" s="1"/>
  <c r="K78" i="8"/>
  <c r="L76" i="8"/>
  <c r="K90" i="8" s="1"/>
  <c r="P77" i="8"/>
  <c r="O77" i="8"/>
  <c r="N77" i="8"/>
  <c r="M77" i="8"/>
  <c r="L77" i="8"/>
  <c r="K77" i="8"/>
  <c r="J77" i="8"/>
  <c r="A149" i="38" s="1"/>
  <c r="P76" i="8"/>
  <c r="O90" i="8" s="1"/>
  <c r="O76" i="8"/>
  <c r="N90" i="8" s="1"/>
  <c r="N76" i="8"/>
  <c r="M90" i="8" s="1"/>
  <c r="M76" i="8"/>
  <c r="L90" i="8" s="1"/>
  <c r="K76" i="8"/>
  <c r="P74" i="8"/>
  <c r="O89" i="8" s="1"/>
  <c r="O74" i="8"/>
  <c r="N89" i="8" s="1"/>
  <c r="N74" i="8"/>
  <c r="M89" i="8" s="1"/>
  <c r="M74" i="8"/>
  <c r="L89" i="8" s="1"/>
  <c r="L74" i="8"/>
  <c r="K89" i="8" s="1"/>
  <c r="P75" i="8"/>
  <c r="O75" i="8"/>
  <c r="N75" i="8"/>
  <c r="M75" i="8"/>
  <c r="L75" i="8"/>
  <c r="K75" i="8"/>
  <c r="J75" i="8"/>
  <c r="A147" i="38" s="1"/>
  <c r="K74" i="8"/>
  <c r="P72" i="8"/>
  <c r="O88" i="8" s="1"/>
  <c r="O72" i="8"/>
  <c r="N88" i="8" s="1"/>
  <c r="N72" i="8"/>
  <c r="M88" i="8" s="1"/>
  <c r="M72" i="8"/>
  <c r="L88" i="8" s="1"/>
  <c r="L72" i="8"/>
  <c r="K88" i="8" s="1"/>
  <c r="P73" i="8"/>
  <c r="O73" i="8"/>
  <c r="N73" i="8"/>
  <c r="M73" i="8"/>
  <c r="L73" i="8"/>
  <c r="K73" i="8"/>
  <c r="J73" i="8"/>
  <c r="A145" i="38" s="1"/>
  <c r="K72" i="8"/>
  <c r="P71" i="8"/>
  <c r="O71" i="8"/>
  <c r="N71" i="8"/>
  <c r="M71" i="8"/>
  <c r="L71" i="8"/>
  <c r="K71" i="8"/>
  <c r="J71" i="8"/>
  <c r="A143" i="38" s="1"/>
  <c r="K70" i="8"/>
  <c r="P70" i="8"/>
  <c r="O87" i="8" s="1"/>
  <c r="O70" i="8"/>
  <c r="N87" i="8" s="1"/>
  <c r="N70" i="8"/>
  <c r="M87" i="8" s="1"/>
  <c r="M70" i="8"/>
  <c r="L87" i="8" s="1"/>
  <c r="L70" i="8"/>
  <c r="K87" i="8" s="1"/>
  <c r="P69" i="8"/>
  <c r="O69" i="8"/>
  <c r="N69" i="8"/>
  <c r="M69" i="8"/>
  <c r="L69" i="8"/>
  <c r="K69" i="8"/>
  <c r="J69" i="8"/>
  <c r="A141" i="38" s="1"/>
  <c r="K68" i="8"/>
  <c r="P68" i="8"/>
  <c r="O86" i="8" s="1"/>
  <c r="O68" i="8"/>
  <c r="N86" i="8" s="1"/>
  <c r="N68" i="8"/>
  <c r="M86" i="8" s="1"/>
  <c r="M68" i="8"/>
  <c r="L86" i="8" s="1"/>
  <c r="L68" i="8"/>
  <c r="K86" i="8" s="1"/>
  <c r="P67" i="8"/>
  <c r="O67" i="8"/>
  <c r="N67" i="8"/>
  <c r="M67" i="8"/>
  <c r="L67" i="8"/>
  <c r="K67" i="8"/>
  <c r="J66" i="8"/>
  <c r="J85" i="8" s="1"/>
  <c r="G66" i="8"/>
  <c r="P66" i="8" s="1"/>
  <c r="O85" i="8" s="1"/>
  <c r="F66" i="8"/>
  <c r="O66" i="8" s="1"/>
  <c r="N85" i="8" s="1"/>
  <c r="E66" i="8"/>
  <c r="N66" i="8" s="1"/>
  <c r="M85" i="8" s="1"/>
  <c r="D66" i="8"/>
  <c r="M66" i="8" s="1"/>
  <c r="L85" i="8" s="1"/>
  <c r="C66" i="8"/>
  <c r="L66" i="8" s="1"/>
  <c r="K85" i="8" s="1"/>
  <c r="B66" i="8"/>
  <c r="K66" i="8" s="1"/>
  <c r="O57" i="8"/>
  <c r="N57" i="8"/>
  <c r="M57" i="8"/>
  <c r="L57" i="8"/>
  <c r="K57" i="8"/>
  <c r="O56" i="8"/>
  <c r="N56" i="8"/>
  <c r="M56" i="8"/>
  <c r="L56" i="8"/>
  <c r="K56" i="8"/>
  <c r="O55" i="8"/>
  <c r="N55" i="8"/>
  <c r="M55" i="8"/>
  <c r="L55" i="8"/>
  <c r="K55" i="8"/>
  <c r="J57" i="8"/>
  <c r="O54" i="8"/>
  <c r="N54" i="8"/>
  <c r="M54" i="8"/>
  <c r="L54" i="8"/>
  <c r="K54" i="8"/>
  <c r="J56" i="8"/>
  <c r="J55" i="8"/>
  <c r="O53" i="8"/>
  <c r="N53" i="8"/>
  <c r="M53" i="8"/>
  <c r="L53" i="8"/>
  <c r="K53" i="8"/>
  <c r="J54" i="8"/>
  <c r="J53" i="8"/>
  <c r="O52" i="8"/>
  <c r="M52" i="8"/>
  <c r="L52" i="8"/>
  <c r="K52" i="8"/>
  <c r="N52" i="8"/>
  <c r="J51" i="8"/>
  <c r="J40" i="8"/>
  <c r="J39" i="8"/>
  <c r="J38" i="8"/>
  <c r="J37" i="8"/>
  <c r="J36" i="8"/>
  <c r="O33" i="8"/>
  <c r="L33" i="8"/>
  <c r="K33" i="8"/>
  <c r="J32" i="8"/>
  <c r="G32" i="8"/>
  <c r="G51" i="8" s="1"/>
  <c r="O51" i="8" s="1"/>
  <c r="F32" i="8"/>
  <c r="F51" i="8" s="1"/>
  <c r="N51" i="8" s="1"/>
  <c r="E32" i="8"/>
  <c r="M32" i="8" s="1"/>
  <c r="D32" i="8"/>
  <c r="D51" i="8" s="1"/>
  <c r="L51" i="8" s="1"/>
  <c r="C32" i="8"/>
  <c r="C51" i="8" s="1"/>
  <c r="K51" i="8" s="1"/>
  <c r="B32" i="8"/>
  <c r="B51" i="8" s="1"/>
  <c r="R26" i="8"/>
  <c r="K25" i="8"/>
  <c r="J26" i="8"/>
  <c r="J25" i="8"/>
  <c r="K24" i="8"/>
  <c r="Q24" i="8" s="1"/>
  <c r="J24" i="8"/>
  <c r="O23" i="8"/>
  <c r="N23" i="8"/>
  <c r="M23" i="8"/>
  <c r="L23" i="8"/>
  <c r="K23" i="8"/>
  <c r="J23" i="8"/>
  <c r="B22" i="8"/>
  <c r="I9" i="8"/>
  <c r="I12" i="8" s="1"/>
  <c r="I15" i="8" s="1"/>
  <c r="I18" i="8" s="1"/>
  <c r="I103" i="5"/>
  <c r="I67" i="5"/>
  <c r="I66" i="5"/>
  <c r="I65" i="5"/>
  <c r="I64" i="5"/>
  <c r="I63" i="5"/>
  <c r="I61" i="5"/>
  <c r="I38" i="5"/>
  <c r="I29" i="5"/>
  <c r="K29" i="5"/>
  <c r="L29" i="5"/>
  <c r="M29" i="5"/>
  <c r="N29" i="5"/>
  <c r="J29" i="5"/>
  <c r="K82" i="8" l="1"/>
  <c r="A151" i="14"/>
  <c r="R144" i="38"/>
  <c r="A85" i="38"/>
  <c r="R80" i="38" s="1"/>
  <c r="A69" i="14"/>
  <c r="A143" i="14"/>
  <c r="R140" i="38"/>
  <c r="R141" i="38"/>
  <c r="A145" i="14"/>
  <c r="A153" i="14"/>
  <c r="T145" i="14" s="1"/>
  <c r="R145" i="38"/>
  <c r="A141" i="14"/>
  <c r="R139" i="38"/>
  <c r="A65" i="14"/>
  <c r="A81" i="38"/>
  <c r="R78" i="38" s="1"/>
  <c r="R142" i="38"/>
  <c r="A147" i="14"/>
  <c r="A149" i="14"/>
  <c r="R143" i="38"/>
  <c r="O82" i="8"/>
  <c r="N93" i="8" s="1"/>
  <c r="L82" i="8"/>
  <c r="K93" i="8" s="1"/>
  <c r="M82" i="8"/>
  <c r="L93" i="8" s="1"/>
  <c r="Q82" i="8"/>
  <c r="P93" i="8" s="1"/>
  <c r="P82" i="8"/>
  <c r="O93" i="8" s="1"/>
  <c r="N82" i="8"/>
  <c r="M93" i="8" s="1"/>
  <c r="A83" i="14"/>
  <c r="T79" i="14" s="1"/>
  <c r="A79" i="14"/>
  <c r="T77" i="14" s="1"/>
  <c r="A31" i="17"/>
  <c r="A21" i="19" s="1"/>
  <c r="A29" i="17"/>
  <c r="A19" i="19" s="1"/>
  <c r="A42" i="19"/>
  <c r="A42" i="25" s="1"/>
  <c r="H37" i="25" s="1"/>
  <c r="R92" i="8"/>
  <c r="A38" i="19"/>
  <c r="A38" i="25" s="1"/>
  <c r="H35" i="25" s="1"/>
  <c r="Q57" i="8"/>
  <c r="R86" i="8"/>
  <c r="Q88" i="8"/>
  <c r="R90" i="8"/>
  <c r="Q55" i="8"/>
  <c r="R57" i="8"/>
  <c r="B31" i="8"/>
  <c r="A85" i="17"/>
  <c r="R81" i="17" s="1"/>
  <c r="A48" i="14"/>
  <c r="T44" i="14" s="1"/>
  <c r="A87" i="14"/>
  <c r="T81" i="14" s="1"/>
  <c r="A89" i="17"/>
  <c r="R83" i="17" s="1"/>
  <c r="Q86" i="8"/>
  <c r="R40" i="8"/>
  <c r="R37" i="8"/>
  <c r="R38" i="8"/>
  <c r="A132" i="14"/>
  <c r="A128" i="14"/>
  <c r="A126" i="14"/>
  <c r="A124" i="14"/>
  <c r="A120" i="14"/>
  <c r="A118" i="14"/>
  <c r="A81" i="17"/>
  <c r="R79" i="17" s="1"/>
  <c r="A34" i="25"/>
  <c r="H33" i="25" s="1"/>
  <c r="J33" i="19"/>
  <c r="A37" i="17"/>
  <c r="A35" i="17"/>
  <c r="A33" i="17"/>
  <c r="A50" i="14"/>
  <c r="T45" i="14" s="1"/>
  <c r="A15" i="14"/>
  <c r="T13" i="14" s="1"/>
  <c r="A15" i="17"/>
  <c r="R13" i="17" s="1"/>
  <c r="A5" i="25"/>
  <c r="H4" i="25" s="1"/>
  <c r="J4" i="19"/>
  <c r="A13" i="14"/>
  <c r="A13" i="17"/>
  <c r="A3" i="25"/>
  <c r="H3" i="25" s="1"/>
  <c r="J3" i="19"/>
  <c r="R91" i="8"/>
  <c r="R88" i="8"/>
  <c r="R55" i="8"/>
  <c r="Q54" i="8"/>
  <c r="R54" i="8"/>
  <c r="R36" i="8"/>
  <c r="R33" i="8"/>
  <c r="Q33" i="8"/>
  <c r="S26" i="8"/>
  <c r="Q25" i="8"/>
  <c r="R25" i="8"/>
  <c r="Q87" i="8"/>
  <c r="R89" i="8"/>
  <c r="Q92" i="8"/>
  <c r="R87" i="8"/>
  <c r="Q89" i="8"/>
  <c r="Q90" i="8"/>
  <c r="Q91" i="8"/>
  <c r="R52" i="8"/>
  <c r="Q53" i="8"/>
  <c r="R56" i="8"/>
  <c r="Q52" i="8"/>
  <c r="R53" i="8"/>
  <c r="Q56" i="8"/>
  <c r="R34" i="8"/>
  <c r="Q40" i="8"/>
  <c r="R39" i="8"/>
  <c r="S24" i="8"/>
  <c r="J92" i="8"/>
  <c r="J91" i="8"/>
  <c r="J90" i="8"/>
  <c r="J89" i="8"/>
  <c r="J88" i="8"/>
  <c r="J87" i="8"/>
  <c r="Q38" i="8"/>
  <c r="K32" i="8"/>
  <c r="Q37" i="8"/>
  <c r="Q39" i="8"/>
  <c r="N32" i="8"/>
  <c r="E51" i="8"/>
  <c r="M51" i="8" s="1"/>
  <c r="O32" i="8"/>
  <c r="B65" i="8"/>
  <c r="Q36" i="8"/>
  <c r="L32" i="8"/>
  <c r="J37" i="19" l="1"/>
  <c r="A49" i="17"/>
  <c r="R45" i="17" s="1"/>
  <c r="S92" i="8"/>
  <c r="J35" i="19"/>
  <c r="J17" i="19"/>
  <c r="A21" i="25"/>
  <c r="H17" i="25" s="1"/>
  <c r="A51" i="17"/>
  <c r="R46" i="17" s="1"/>
  <c r="J16" i="19"/>
  <c r="A19" i="25"/>
  <c r="H16" i="25" s="1"/>
  <c r="A27" i="17"/>
  <c r="A17" i="19" s="1"/>
  <c r="S37" i="8"/>
  <c r="Q93" i="8"/>
  <c r="R93" i="8"/>
  <c r="A46" i="14"/>
  <c r="T43" i="14" s="1"/>
  <c r="S86" i="8"/>
  <c r="S90" i="8"/>
  <c r="S57" i="8"/>
  <c r="S39" i="8"/>
  <c r="S36" i="8"/>
  <c r="S38" i="8"/>
  <c r="S55" i="8"/>
  <c r="S88" i="8"/>
  <c r="S33" i="8"/>
  <c r="B50" i="8"/>
  <c r="S91" i="8"/>
  <c r="S89" i="8"/>
  <c r="S25" i="8"/>
  <c r="S54" i="8"/>
  <c r="S52" i="8"/>
  <c r="S40" i="8"/>
  <c r="T144" i="14"/>
  <c r="T143" i="14"/>
  <c r="T142" i="14"/>
  <c r="T141" i="14"/>
  <c r="T140" i="14"/>
  <c r="T139" i="14"/>
  <c r="A85" i="14"/>
  <c r="T80" i="14" s="1"/>
  <c r="A81" i="14"/>
  <c r="T78" i="14" s="1"/>
  <c r="A56" i="14"/>
  <c r="T48" i="14" s="1"/>
  <c r="A54" i="14"/>
  <c r="T47" i="14" s="1"/>
  <c r="A52" i="14"/>
  <c r="T46" i="14" s="1"/>
  <c r="A7" i="17"/>
  <c r="A17" i="14"/>
  <c r="T14" i="14" s="1"/>
  <c r="S53" i="8"/>
  <c r="S87" i="8"/>
  <c r="S56" i="8"/>
  <c r="A47" i="17" l="1"/>
  <c r="R44" i="17" s="1"/>
  <c r="J15" i="19"/>
  <c r="A17" i="25"/>
  <c r="H15" i="25" s="1"/>
  <c r="S93" i="8"/>
  <c r="D154" i="14"/>
  <c r="V145" i="14" s="1"/>
  <c r="K154" i="14"/>
  <c r="AC145" i="14" s="1"/>
  <c r="F154" i="14"/>
  <c r="X145" i="14" s="1"/>
  <c r="L154" i="14"/>
  <c r="AD145" i="14" s="1"/>
  <c r="J154" i="14"/>
  <c r="AB145" i="14" s="1"/>
  <c r="O154" i="14"/>
  <c r="AG145" i="14" s="1"/>
  <c r="H154" i="14"/>
  <c r="Z145" i="14" s="1"/>
  <c r="M154" i="14"/>
  <c r="AE145" i="14" s="1"/>
  <c r="Q154" i="14"/>
  <c r="AI145" i="14" s="1"/>
  <c r="P154" i="14"/>
  <c r="AH145" i="14" s="1"/>
  <c r="I154" i="14"/>
  <c r="AA145" i="14" s="1"/>
  <c r="G154" i="14"/>
  <c r="Y145" i="14" s="1"/>
  <c r="N154" i="14"/>
  <c r="AF145" i="14" s="1"/>
  <c r="E154" i="14"/>
  <c r="W145" i="14" s="1"/>
  <c r="C154" i="14"/>
  <c r="U145" i="14" s="1"/>
  <c r="A40" i="19"/>
  <c r="A87" i="17"/>
  <c r="R82" i="17" s="1"/>
  <c r="A36" i="19"/>
  <c r="A83" i="17"/>
  <c r="R80" i="17" s="1"/>
  <c r="A27" i="19"/>
  <c r="A57" i="17"/>
  <c r="R49" i="17" s="1"/>
  <c r="A25" i="19"/>
  <c r="A55" i="17"/>
  <c r="R48" i="17" s="1"/>
  <c r="A23" i="19"/>
  <c r="A53" i="17"/>
  <c r="R47" i="17" s="1"/>
  <c r="A7" i="19"/>
  <c r="A17" i="17"/>
  <c r="R14" i="17" s="1"/>
  <c r="A40" i="25" l="1"/>
  <c r="H36" i="25" s="1"/>
  <c r="J36" i="19"/>
  <c r="A36" i="25"/>
  <c r="H34" i="25" s="1"/>
  <c r="J34" i="19"/>
  <c r="A27" i="25"/>
  <c r="H20" i="25" s="1"/>
  <c r="J20" i="19"/>
  <c r="A25" i="25"/>
  <c r="H19" i="25" s="1"/>
  <c r="J19" i="19"/>
  <c r="A23" i="25"/>
  <c r="H18" i="25" s="1"/>
  <c r="J18" i="19"/>
  <c r="A7" i="25"/>
  <c r="H5" i="25" s="1"/>
  <c r="J5" i="19"/>
  <c r="I32" i="5" l="1"/>
  <c r="I31" i="5"/>
  <c r="I30" i="5"/>
  <c r="K92" i="5" l="1"/>
  <c r="L90" i="5"/>
  <c r="K102" i="5" s="1"/>
  <c r="M90" i="5"/>
  <c r="L102" i="5" s="1"/>
  <c r="N90" i="5"/>
  <c r="M102" i="5" s="1"/>
  <c r="O90" i="5"/>
  <c r="N102" i="5" s="1"/>
  <c r="K90" i="5"/>
  <c r="J102" i="5" s="1"/>
  <c r="L88" i="5"/>
  <c r="K101" i="5" s="1"/>
  <c r="M88" i="5"/>
  <c r="L101" i="5" s="1"/>
  <c r="N88" i="5"/>
  <c r="M101" i="5" s="1"/>
  <c r="O88" i="5"/>
  <c r="N101" i="5" s="1"/>
  <c r="K88" i="5"/>
  <c r="J101" i="5" s="1"/>
  <c r="L86" i="5"/>
  <c r="K100" i="5" s="1"/>
  <c r="M86" i="5"/>
  <c r="L100" i="5" s="1"/>
  <c r="N86" i="5"/>
  <c r="M100" i="5" s="1"/>
  <c r="O86" i="5"/>
  <c r="N100" i="5" s="1"/>
  <c r="K86" i="5"/>
  <c r="J100" i="5" s="1"/>
  <c r="L84" i="5"/>
  <c r="K99" i="5" s="1"/>
  <c r="M84" i="5"/>
  <c r="L99" i="5" s="1"/>
  <c r="N84" i="5"/>
  <c r="M99" i="5" s="1"/>
  <c r="O84" i="5"/>
  <c r="N99" i="5" s="1"/>
  <c r="K84" i="5"/>
  <c r="J99" i="5" s="1"/>
  <c r="L82" i="5"/>
  <c r="K98" i="5" s="1"/>
  <c r="M82" i="5"/>
  <c r="L98" i="5" s="1"/>
  <c r="N82" i="5"/>
  <c r="M98" i="5" s="1"/>
  <c r="O82" i="5"/>
  <c r="N98" i="5" s="1"/>
  <c r="K82" i="5"/>
  <c r="J98" i="5" s="1"/>
  <c r="L80" i="5"/>
  <c r="K97" i="5" s="1"/>
  <c r="M80" i="5"/>
  <c r="L97" i="5" s="1"/>
  <c r="N80" i="5"/>
  <c r="M97" i="5" s="1"/>
  <c r="O80" i="5"/>
  <c r="N97" i="5" s="1"/>
  <c r="K80" i="5"/>
  <c r="J97" i="5" s="1"/>
  <c r="L78" i="5"/>
  <c r="K96" i="5" s="1"/>
  <c r="M78" i="5"/>
  <c r="L96" i="5" s="1"/>
  <c r="N78" i="5"/>
  <c r="M96" i="5" s="1"/>
  <c r="O78" i="5"/>
  <c r="N96" i="5" s="1"/>
  <c r="K78" i="5"/>
  <c r="J96" i="5" s="1"/>
  <c r="O91" i="5"/>
  <c r="O92" i="5" s="1"/>
  <c r="N91" i="5"/>
  <c r="N92" i="5" s="1"/>
  <c r="M91" i="5"/>
  <c r="M92" i="5" s="1"/>
  <c r="L92" i="5"/>
  <c r="J90" i="5"/>
  <c r="O89" i="5"/>
  <c r="N89" i="5"/>
  <c r="M89" i="5"/>
  <c r="L89" i="5"/>
  <c r="K89" i="5"/>
  <c r="J89" i="5"/>
  <c r="I102" i="5"/>
  <c r="J88" i="5"/>
  <c r="O87" i="5"/>
  <c r="N87" i="5"/>
  <c r="M87" i="5"/>
  <c r="L87" i="5"/>
  <c r="K87" i="5"/>
  <c r="J87" i="5"/>
  <c r="I101" i="5"/>
  <c r="J86" i="5"/>
  <c r="O85" i="5"/>
  <c r="N85" i="5"/>
  <c r="M85" i="5"/>
  <c r="L85" i="5"/>
  <c r="K85" i="5"/>
  <c r="J85" i="5"/>
  <c r="I100" i="5"/>
  <c r="J84" i="5"/>
  <c r="O83" i="5"/>
  <c r="N83" i="5"/>
  <c r="M83" i="5"/>
  <c r="L83" i="5"/>
  <c r="K83" i="5"/>
  <c r="J83" i="5"/>
  <c r="I99" i="5"/>
  <c r="J82" i="5"/>
  <c r="O81" i="5"/>
  <c r="N81" i="5"/>
  <c r="M81" i="5"/>
  <c r="L81" i="5"/>
  <c r="K81" i="5"/>
  <c r="J81" i="5"/>
  <c r="I98" i="5"/>
  <c r="J80" i="5"/>
  <c r="O79" i="5"/>
  <c r="N79" i="5"/>
  <c r="M79" i="5"/>
  <c r="L79" i="5"/>
  <c r="K79" i="5"/>
  <c r="J79" i="5"/>
  <c r="I97" i="5"/>
  <c r="J78" i="5"/>
  <c r="O77" i="5"/>
  <c r="N77" i="5"/>
  <c r="M77" i="5"/>
  <c r="L77" i="5"/>
  <c r="K77" i="5"/>
  <c r="J77" i="5"/>
  <c r="I77" i="5"/>
  <c r="I76" i="5"/>
  <c r="I95" i="5" s="1"/>
  <c r="G76" i="5"/>
  <c r="O76" i="5" s="1"/>
  <c r="N95" i="5" s="1"/>
  <c r="F76" i="5"/>
  <c r="N76" i="5" s="1"/>
  <c r="M95" i="5" s="1"/>
  <c r="E76" i="5"/>
  <c r="M76" i="5" s="1"/>
  <c r="L95" i="5" s="1"/>
  <c r="D76" i="5"/>
  <c r="L76" i="5" s="1"/>
  <c r="K95" i="5" s="1"/>
  <c r="C76" i="5"/>
  <c r="K76" i="5" s="1"/>
  <c r="J95" i="5" s="1"/>
  <c r="B76" i="5"/>
  <c r="J76" i="5" s="1"/>
  <c r="K67" i="5"/>
  <c r="L67" i="5"/>
  <c r="M67" i="5"/>
  <c r="N67" i="5"/>
  <c r="J67" i="5"/>
  <c r="K66" i="5"/>
  <c r="L66" i="5"/>
  <c r="M66" i="5"/>
  <c r="N66" i="5"/>
  <c r="J66" i="5"/>
  <c r="K65" i="5"/>
  <c r="M65" i="5"/>
  <c r="N65" i="5"/>
  <c r="J65" i="5"/>
  <c r="K64" i="5"/>
  <c r="L64" i="5"/>
  <c r="M64" i="5"/>
  <c r="N64" i="5"/>
  <c r="J64" i="5"/>
  <c r="K63" i="5"/>
  <c r="L63" i="5"/>
  <c r="M63" i="5"/>
  <c r="N63" i="5"/>
  <c r="J63" i="5"/>
  <c r="K62" i="5"/>
  <c r="L62" i="5"/>
  <c r="M62" i="5"/>
  <c r="N62" i="5"/>
  <c r="J62" i="5"/>
  <c r="K32" i="5"/>
  <c r="L32" i="5"/>
  <c r="M32" i="5"/>
  <c r="N32" i="5"/>
  <c r="J32" i="5"/>
  <c r="K31" i="5"/>
  <c r="L31" i="5"/>
  <c r="M31" i="5"/>
  <c r="N31" i="5"/>
  <c r="J31" i="5"/>
  <c r="K30" i="5"/>
  <c r="L30" i="5"/>
  <c r="M30" i="5"/>
  <c r="N30" i="5"/>
  <c r="C38" i="5"/>
  <c r="D38" i="5"/>
  <c r="E38" i="5"/>
  <c r="F38" i="5"/>
  <c r="G38" i="5"/>
  <c r="B38" i="5"/>
  <c r="B61" i="5" s="1"/>
  <c r="A33" i="8" l="1"/>
  <c r="A22" i="38" s="1"/>
  <c r="I96" i="5"/>
  <c r="A67" i="8"/>
  <c r="A92" i="38" s="1"/>
  <c r="C61" i="5"/>
  <c r="J61" i="5" s="1"/>
  <c r="J38" i="5"/>
  <c r="D61" i="5"/>
  <c r="K61" i="5" s="1"/>
  <c r="K38" i="5"/>
  <c r="F61" i="5"/>
  <c r="M61" i="5" s="1"/>
  <c r="M38" i="5"/>
  <c r="I39" i="5"/>
  <c r="G61" i="5"/>
  <c r="N61" i="5" s="1"/>
  <c r="N38" i="5"/>
  <c r="E61" i="5"/>
  <c r="L61" i="5" s="1"/>
  <c r="L38" i="5"/>
  <c r="L103" i="5"/>
  <c r="M103" i="5"/>
  <c r="J103" i="5"/>
  <c r="K103" i="5"/>
  <c r="N103" i="5"/>
  <c r="B75" i="5"/>
  <c r="A92" i="14" l="1"/>
  <c r="A116" i="38"/>
  <c r="A22" i="14"/>
  <c r="A42" i="38"/>
  <c r="I62" i="5"/>
  <c r="J33" i="8"/>
  <c r="J67" i="8"/>
  <c r="A139" i="38" s="1"/>
  <c r="A52" i="8"/>
  <c r="B60" i="5"/>
  <c r="A139" i="14" l="1"/>
  <c r="A63" i="17"/>
  <c r="A61" i="38"/>
  <c r="A116" i="14"/>
  <c r="A23" i="17"/>
  <c r="J52" i="8"/>
  <c r="J86" i="8"/>
  <c r="A174" i="38" l="1"/>
  <c r="A158" i="14"/>
  <c r="A61" i="14"/>
  <c r="A77" i="38"/>
  <c r="A42" i="14"/>
  <c r="A77" i="14" l="1"/>
  <c r="A174" i="14"/>
  <c r="A13" i="19"/>
  <c r="J13" i="19" s="1"/>
  <c r="A43" i="17"/>
  <c r="A13" i="25" l="1"/>
  <c r="H13" i="25" s="1"/>
  <c r="A32" i="19"/>
  <c r="A79" i="17"/>
  <c r="A32" i="25" l="1"/>
  <c r="J32" i="19"/>
  <c r="A58" i="25" l="1"/>
  <c r="H58" i="25" s="1"/>
  <c r="J47" i="19"/>
  <c r="A69" i="25"/>
  <c r="H69" i="25" s="1"/>
  <c r="H32" i="25"/>
  <c r="AB14" i="17" l="1"/>
  <c r="AB13" i="17"/>
  <c r="AC13" i="17"/>
  <c r="AC14" i="17"/>
  <c r="W13" i="17"/>
  <c r="W14" i="17"/>
  <c r="V13" i="17"/>
  <c r="V14" i="17"/>
  <c r="T13" i="17"/>
  <c r="T14" i="17"/>
  <c r="Z13" i="17"/>
  <c r="Z14" i="17"/>
  <c r="Y13" i="17"/>
  <c r="Y14" i="17"/>
  <c r="X13" i="17"/>
  <c r="X14" i="17"/>
  <c r="U13" i="17"/>
  <c r="U14" i="17"/>
  <c r="AA13" i="17"/>
  <c r="AA14" i="17"/>
  <c r="AD13" i="17"/>
  <c r="AD14" i="17"/>
  <c r="S13" i="17"/>
  <c r="S14" i="17"/>
  <c r="T12" i="17" l="1"/>
  <c r="AA12" i="17"/>
  <c r="AC12" i="17"/>
  <c r="S12" i="17"/>
  <c r="AD12" i="17"/>
  <c r="Y12" i="17"/>
  <c r="V12" i="17"/>
  <c r="AB12" i="17"/>
  <c r="U12" i="17"/>
  <c r="W12" i="17"/>
  <c r="X12" i="17"/>
  <c r="Z12" i="17"/>
  <c r="Z42" i="17" l="1"/>
  <c r="Z45" i="17"/>
  <c r="Z47" i="17"/>
  <c r="Z44" i="17"/>
  <c r="Z48" i="17"/>
  <c r="Z49" i="17"/>
  <c r="Z46" i="17"/>
  <c r="W46" i="17"/>
  <c r="W42" i="17"/>
  <c r="W44" i="17"/>
  <c r="W49" i="17"/>
  <c r="W47" i="17"/>
  <c r="W45" i="17"/>
  <c r="W48" i="17"/>
  <c r="AB42" i="17"/>
  <c r="AB44" i="17"/>
  <c r="AB47" i="17"/>
  <c r="AB45" i="17"/>
  <c r="AB48" i="17"/>
  <c r="AB46" i="17"/>
  <c r="AB49" i="17"/>
  <c r="Y42" i="17"/>
  <c r="Y44" i="17"/>
  <c r="Y47" i="17"/>
  <c r="Y45" i="17"/>
  <c r="Y48" i="17"/>
  <c r="Y46" i="17"/>
  <c r="Y49" i="17"/>
  <c r="S46" i="17"/>
  <c r="S49" i="17"/>
  <c r="S44" i="17"/>
  <c r="S48" i="17"/>
  <c r="S47" i="17"/>
  <c r="S42" i="17"/>
  <c r="S45" i="17"/>
  <c r="AA42" i="17"/>
  <c r="AA44" i="17"/>
  <c r="AA45" i="17"/>
  <c r="AA47" i="17"/>
  <c r="AA48" i="17"/>
  <c r="AA46" i="17"/>
  <c r="AA49" i="17"/>
  <c r="X42" i="17"/>
  <c r="X47" i="17"/>
  <c r="X46" i="17"/>
  <c r="X44" i="17"/>
  <c r="X48" i="17"/>
  <c r="X49" i="17"/>
  <c r="X45" i="17"/>
  <c r="U46" i="17"/>
  <c r="U48" i="17"/>
  <c r="U45" i="17"/>
  <c r="U44" i="17"/>
  <c r="U47" i="17"/>
  <c r="U42" i="17"/>
  <c r="U49" i="17"/>
  <c r="V44" i="17"/>
  <c r="V42" i="17"/>
  <c r="V46" i="17"/>
  <c r="V49" i="17"/>
  <c r="V47" i="17"/>
  <c r="V48" i="17"/>
  <c r="V45" i="17"/>
  <c r="AD42" i="17"/>
  <c r="AD45" i="17"/>
  <c r="AD49" i="17"/>
  <c r="AD44" i="17"/>
  <c r="AD46" i="17"/>
  <c r="AD47" i="17"/>
  <c r="AD48" i="17"/>
  <c r="AC44" i="17"/>
  <c r="AC42" i="17"/>
  <c r="AC46" i="17"/>
  <c r="AC45" i="17"/>
  <c r="AC48" i="17"/>
  <c r="AC49" i="17"/>
  <c r="AC47" i="17"/>
  <c r="T42" i="17"/>
  <c r="T49" i="17"/>
  <c r="T47" i="17"/>
  <c r="T45" i="17"/>
  <c r="T48" i="17"/>
  <c r="T46" i="17"/>
  <c r="T44" i="17"/>
  <c r="T78" i="17" l="1"/>
  <c r="T83" i="17"/>
  <c r="T82" i="17"/>
  <c r="T80" i="17"/>
  <c r="T79" i="17"/>
  <c r="T81" i="17"/>
  <c r="X78" i="17"/>
  <c r="X80" i="17"/>
  <c r="X82" i="17"/>
  <c r="X83" i="17"/>
  <c r="X79" i="17"/>
  <c r="X81" i="17"/>
  <c r="AA78" i="17"/>
  <c r="AA81" i="17"/>
  <c r="AA80" i="17"/>
  <c r="AA82" i="17"/>
  <c r="AA83" i="17"/>
  <c r="AA79" i="17"/>
  <c r="Y78" i="17"/>
  <c r="Y80" i="17"/>
  <c r="Y81" i="17"/>
  <c r="Y82" i="17"/>
  <c r="Y79" i="17"/>
  <c r="Y83" i="17"/>
  <c r="Z78" i="17"/>
  <c r="Z83" i="17"/>
  <c r="Z81" i="17"/>
  <c r="Z80" i="17"/>
  <c r="Z79" i="17"/>
  <c r="Z82" i="17"/>
  <c r="W78" i="17"/>
  <c r="W79" i="17"/>
  <c r="W81" i="17"/>
  <c r="W82" i="17"/>
  <c r="W80" i="17"/>
  <c r="W83" i="17"/>
  <c r="AC78" i="17"/>
  <c r="AC83" i="17"/>
  <c r="AC80" i="17"/>
  <c r="AC79" i="17"/>
  <c r="AC81" i="17"/>
  <c r="AC82" i="17"/>
  <c r="U78" i="17"/>
  <c r="U81" i="17"/>
  <c r="U83" i="17"/>
  <c r="U82" i="17"/>
  <c r="U80" i="17"/>
  <c r="U79" i="17"/>
  <c r="S79" i="17"/>
  <c r="S81" i="17"/>
  <c r="S78" i="17"/>
  <c r="S82" i="17"/>
  <c r="S83" i="17"/>
  <c r="S80" i="17"/>
  <c r="AB78" i="17"/>
  <c r="AB81" i="17"/>
  <c r="AB83" i="17"/>
  <c r="AB80" i="17"/>
  <c r="AB82" i="17"/>
  <c r="AB79" i="17"/>
  <c r="AD79" i="17"/>
  <c r="AD80" i="17"/>
  <c r="AD78" i="17"/>
  <c r="AD81" i="17"/>
  <c r="AD82" i="17"/>
  <c r="AD83" i="17"/>
  <c r="V78" i="17"/>
  <c r="V83" i="17"/>
  <c r="V81" i="17"/>
  <c r="V80" i="17"/>
  <c r="V82" i="17"/>
  <c r="V79" i="17"/>
  <c r="B6" i="25"/>
  <c r="B8" i="25"/>
  <c r="D4" i="25"/>
  <c r="J3" i="25" s="1"/>
  <c r="E4" i="25"/>
  <c r="K3" i="25" s="1"/>
  <c r="C4" i="25"/>
  <c r="I3" i="25" s="1"/>
  <c r="L3" i="25" l="1"/>
  <c r="C36" i="8"/>
  <c r="K34" i="8" s="1"/>
  <c r="Q34" i="8" s="1"/>
  <c r="S34" i="8" s="1"/>
  <c r="C6" i="25"/>
  <c r="I4" i="25" s="1"/>
</calcChain>
</file>

<file path=xl/sharedStrings.xml><?xml version="1.0" encoding="utf-8"?>
<sst xmlns="http://schemas.openxmlformats.org/spreadsheetml/2006/main" count="1822" uniqueCount="425">
  <si>
    <t>無回答</t>
    <rPh sb="0" eb="3">
      <t>ムカイトウ</t>
    </rPh>
    <phoneticPr fontId="2"/>
  </si>
  <si>
    <t>　</t>
    <phoneticPr fontId="2"/>
  </si>
  <si>
    <t>↓</t>
    <phoneticPr fontId="2"/>
  </si>
  <si>
    <t>調査数</t>
    <rPh sb="0" eb="2">
      <t>チョウサ</t>
    </rPh>
    <rPh sb="2" eb="3">
      <t>スウ</t>
    </rPh>
    <phoneticPr fontId="2"/>
  </si>
  <si>
    <t>多い順</t>
    <rPh sb="0" eb="1">
      <t>オオ</t>
    </rPh>
    <rPh sb="2" eb="3">
      <t>ジュン</t>
    </rPh>
    <phoneticPr fontId="2"/>
  </si>
  <si>
    <t>図1-3</t>
    <rPh sb="0" eb="1">
      <t>ズ</t>
    </rPh>
    <phoneticPr fontId="2"/>
  </si>
  <si>
    <t>くらしの前年比較</t>
    <rPh sb="4" eb="6">
      <t>ゼンネン</t>
    </rPh>
    <rPh sb="6" eb="8">
      <t>ヒカク</t>
    </rPh>
    <phoneticPr fontId="2"/>
  </si>
  <si>
    <t>【経年変化(年代別)】</t>
    <rPh sb="1" eb="3">
      <t>ケイネン</t>
    </rPh>
    <rPh sb="3" eb="5">
      <t>ヘンカ</t>
    </rPh>
    <rPh sb="6" eb="8">
      <t>ネンダイ</t>
    </rPh>
    <rPh sb="8" eb="9">
      <t>ベツ</t>
    </rPh>
    <phoneticPr fontId="2"/>
  </si>
  <si>
    <t>20歳代</t>
    <rPh sb="2" eb="3">
      <t>サイ</t>
    </rPh>
    <rPh sb="3" eb="4">
      <t>ダイ</t>
    </rPh>
    <phoneticPr fontId="2"/>
  </si>
  <si>
    <t>楽になった</t>
    <rPh sb="0" eb="1">
      <t>ラク</t>
    </rPh>
    <phoneticPr fontId="2"/>
  </si>
  <si>
    <t>かわらない</t>
    <phoneticPr fontId="2"/>
  </si>
  <si>
    <t>苦しくなった</t>
    <rPh sb="0" eb="1">
      <t>クル</t>
    </rPh>
    <phoneticPr fontId="2"/>
  </si>
  <si>
    <t>30歳代</t>
    <rPh sb="2" eb="3">
      <t>サイ</t>
    </rPh>
    <rPh sb="3" eb="4">
      <t>ダイ</t>
    </rPh>
    <phoneticPr fontId="2"/>
  </si>
  <si>
    <t>かわらない</t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</si>
  <si>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</si>
  <si>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</si>
  <si>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</si>
  <si>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70歳以上</t>
    <rPh sb="2" eb="3">
      <t>サイ</t>
    </rPh>
    <rPh sb="3" eb="5">
      <t>イジョウ</t>
    </rPh>
    <phoneticPr fontId="2"/>
  </si>
  <si>
    <t>図1-4</t>
    <rPh sb="0" eb="1">
      <t>ズ</t>
    </rPh>
    <phoneticPr fontId="2"/>
  </si>
  <si>
    <t>　</t>
    <phoneticPr fontId="2"/>
  </si>
  <si>
    <t>【性別】</t>
    <rPh sb="1" eb="3">
      <t>セイベツ</t>
    </rPh>
    <phoneticPr fontId="2"/>
  </si>
  <si>
    <t>楽になった</t>
  </si>
  <si>
    <t>苦しくなった</t>
  </si>
  <si>
    <t>わからない</t>
  </si>
  <si>
    <t>図1-5</t>
    <rPh sb="0" eb="1">
      <t>ズ</t>
    </rPh>
    <phoneticPr fontId="2"/>
  </si>
  <si>
    <t>【年代別】</t>
    <rPh sb="1" eb="3">
      <t>ネンダイ</t>
    </rPh>
    <rPh sb="3" eb="4">
      <t>ベツ</t>
    </rPh>
    <phoneticPr fontId="2"/>
  </si>
  <si>
    <t>図1-6</t>
    <rPh sb="0" eb="1">
      <t>ズ</t>
    </rPh>
    <phoneticPr fontId="2"/>
  </si>
  <si>
    <t>【居住圏域別】</t>
    <rPh sb="1" eb="3">
      <t>キョジュウ</t>
    </rPh>
    <rPh sb="3" eb="5">
      <t>ケンイキ</t>
    </rPh>
    <rPh sb="5" eb="6">
      <t>ベツ</t>
    </rPh>
    <phoneticPr fontId="2"/>
  </si>
  <si>
    <t>図1-7</t>
    <rPh sb="0" eb="1">
      <t>ズ</t>
    </rPh>
    <phoneticPr fontId="2"/>
  </si>
  <si>
    <t>【職業別】</t>
    <rPh sb="1" eb="3">
      <t>ショクギョウ</t>
    </rPh>
    <rPh sb="3" eb="4">
      <t>ベツ</t>
    </rPh>
    <phoneticPr fontId="2"/>
  </si>
  <si>
    <t>→</t>
    <phoneticPr fontId="2"/>
  </si>
  <si>
    <t>その他に</t>
    <phoneticPr fontId="2"/>
  </si>
  <si>
    <t>→
グラフ用</t>
    <rPh sb="5" eb="6">
      <t>ヨウ</t>
    </rPh>
    <phoneticPr fontId="2"/>
  </si>
  <si>
    <t>↓グラフ用</t>
    <rPh sb="4" eb="5">
      <t>ヨウ</t>
    </rPh>
    <phoneticPr fontId="2"/>
  </si>
  <si>
    <t>くらしの満足度</t>
    <rPh sb="4" eb="7">
      <t>マンゾクド</t>
    </rPh>
    <phoneticPr fontId="2"/>
  </si>
  <si>
    <t>満足層</t>
    <rPh sb="0" eb="2">
      <t>マンゾク</t>
    </rPh>
    <rPh sb="2" eb="3">
      <t>ソウ</t>
    </rPh>
    <phoneticPr fontId="2"/>
  </si>
  <si>
    <t>不満層</t>
    <rPh sb="0" eb="2">
      <t>フマン</t>
    </rPh>
    <rPh sb="2" eb="3">
      <t>ソウ</t>
    </rPh>
    <phoneticPr fontId="2"/>
  </si>
  <si>
    <t>図2-4</t>
    <rPh sb="0" eb="1">
      <t>ズ</t>
    </rPh>
    <phoneticPr fontId="2"/>
  </si>
  <si>
    <t>十分満足している</t>
  </si>
  <si>
    <t>おおむね満足している</t>
  </si>
  <si>
    <t>まだまだ不満だ</t>
  </si>
  <si>
    <t>きわめて不満だ</t>
  </si>
  <si>
    <t>A-B</t>
    <phoneticPr fontId="2"/>
  </si>
  <si>
    <t>図2-5</t>
    <rPh sb="0" eb="1">
      <t>ズ</t>
    </rPh>
    <phoneticPr fontId="2"/>
  </si>
  <si>
    <t>図2-6</t>
    <rPh sb="0" eb="1">
      <t>ズ</t>
    </rPh>
    <phoneticPr fontId="2"/>
  </si>
  <si>
    <t>図2-7</t>
    <rPh sb="0" eb="1">
      <t>ズ</t>
    </rPh>
    <phoneticPr fontId="2"/>
  </si>
  <si>
    <t>図3-3</t>
    <rPh sb="0" eb="1">
      <t>ズ</t>
    </rPh>
    <phoneticPr fontId="2"/>
  </si>
  <si>
    <t>健康・体力</t>
    <rPh sb="0" eb="2">
      <t>ケンコウ</t>
    </rPh>
    <rPh sb="3" eb="5">
      <t>タイリョク</t>
    </rPh>
    <phoneticPr fontId="2"/>
  </si>
  <si>
    <t>収入・貯蓄</t>
    <rPh sb="0" eb="2">
      <t>シュウニュウ</t>
    </rPh>
    <rPh sb="3" eb="5">
      <t>チョチク</t>
    </rPh>
    <phoneticPr fontId="2"/>
  </si>
  <si>
    <t>仕事</t>
    <rPh sb="0" eb="2">
      <t>シゴト</t>
    </rPh>
    <phoneticPr fontId="2"/>
  </si>
  <si>
    <t>就職</t>
  </si>
  <si>
    <t>結婚</t>
  </si>
  <si>
    <t>子育て・子どもの教育</t>
  </si>
  <si>
    <t>介護</t>
  </si>
  <si>
    <t>家庭での人間関係</t>
  </si>
  <si>
    <t>地域での人間関係</t>
  </si>
  <si>
    <t>住宅</t>
  </si>
  <si>
    <t>その他</t>
  </si>
  <si>
    <t>特にない</t>
    <rPh sb="0" eb="1">
      <t>トク</t>
    </rPh>
    <phoneticPr fontId="2"/>
  </si>
  <si>
    <t>【年代別】</t>
    <rPh sb="1" eb="4">
      <t>ネンダイベツ</t>
    </rPh>
    <phoneticPr fontId="2"/>
  </si>
  <si>
    <t>↓</t>
    <phoneticPr fontId="2"/>
  </si>
  <si>
    <t>↓その他に自由業、学生を含むver</t>
    <rPh sb="3" eb="4">
      <t>タ</t>
    </rPh>
    <rPh sb="9" eb="11">
      <t>ガクセイ</t>
    </rPh>
    <phoneticPr fontId="2"/>
  </si>
  <si>
    <t>図3-7</t>
    <rPh sb="0" eb="1">
      <t>ズ</t>
    </rPh>
    <phoneticPr fontId="2"/>
  </si>
  <si>
    <t>【くらしの満足度別】</t>
    <rPh sb="5" eb="8">
      <t>マンゾクド</t>
    </rPh>
    <rPh sb="8" eb="9">
      <t>ベツ</t>
    </rPh>
    <phoneticPr fontId="2"/>
  </si>
  <si>
    <t>図4-7</t>
    <rPh sb="0" eb="1">
      <t>ズ</t>
    </rPh>
    <phoneticPr fontId="2"/>
  </si>
  <si>
    <t>健康・体力づくり</t>
    <rPh sb="0" eb="2">
      <t>ケンコウ</t>
    </rPh>
    <rPh sb="3" eb="5">
      <t>タイリョク</t>
    </rPh>
    <phoneticPr fontId="2"/>
  </si>
  <si>
    <t>知識や教養の向上</t>
    <rPh sb="0" eb="2">
      <t>チシキ</t>
    </rPh>
    <rPh sb="3" eb="5">
      <t>キョウヨウ</t>
    </rPh>
    <rPh sb="6" eb="8">
      <t>コウジョウ</t>
    </rPh>
    <phoneticPr fontId="2"/>
  </si>
  <si>
    <t>社会的地位の向上</t>
    <rPh sb="6" eb="8">
      <t>コウジョウ</t>
    </rPh>
    <phoneticPr fontId="2"/>
  </si>
  <si>
    <t>趣味・レジャー</t>
    <phoneticPr fontId="2"/>
  </si>
  <si>
    <t>ボランティアや地域活動</t>
    <rPh sb="7" eb="9">
      <t>チイキ</t>
    </rPh>
    <rPh sb="9" eb="11">
      <t>カツドウ</t>
    </rPh>
    <phoneticPr fontId="2"/>
  </si>
  <si>
    <t>家族との団らん</t>
  </si>
  <si>
    <t>家族の介護</t>
  </si>
  <si>
    <t>子育て・子どもの教育</t>
    <rPh sb="0" eb="2">
      <t>コソダ</t>
    </rPh>
    <rPh sb="4" eb="5">
      <t>コ</t>
    </rPh>
    <rPh sb="8" eb="10">
      <t>キョウイク</t>
    </rPh>
    <phoneticPr fontId="2"/>
  </si>
  <si>
    <t>衣・食生活の充実</t>
  </si>
  <si>
    <t>老後の生活への準備</t>
  </si>
  <si>
    <t>特にない</t>
  </si>
  <si>
    <t>図6-3</t>
    <rPh sb="0" eb="1">
      <t>ズ</t>
    </rPh>
    <phoneticPr fontId="2"/>
  </si>
  <si>
    <t>現在住んでいる地域は住みやすいか</t>
    <rPh sb="0" eb="2">
      <t>ゲンザイ</t>
    </rPh>
    <rPh sb="2" eb="3">
      <t>ス</t>
    </rPh>
    <rPh sb="7" eb="9">
      <t>チイキ</t>
    </rPh>
    <rPh sb="10" eb="11">
      <t>ス</t>
    </rPh>
    <phoneticPr fontId="2"/>
  </si>
  <si>
    <t>生活に必要な情報の入手媒体</t>
    <rPh sb="0" eb="2">
      <t>セイカツ</t>
    </rPh>
    <rPh sb="3" eb="5">
      <t>ヒツヨウ</t>
    </rPh>
    <rPh sb="6" eb="8">
      <t>ジョウホウ</t>
    </rPh>
    <rPh sb="9" eb="11">
      <t>ニュウシュ</t>
    </rPh>
    <rPh sb="11" eb="13">
      <t>バイタイ</t>
    </rPh>
    <phoneticPr fontId="2"/>
  </si>
  <si>
    <t>テレビ（データ放送を除く）</t>
    <rPh sb="7" eb="9">
      <t>ホウソウ</t>
    </rPh>
    <rPh sb="10" eb="11">
      <t>ノゾ</t>
    </rPh>
    <phoneticPr fontId="2"/>
  </si>
  <si>
    <t>テレビのデータ放送</t>
    <rPh sb="7" eb="9">
      <t>ホウソウ</t>
    </rPh>
    <phoneticPr fontId="2"/>
  </si>
  <si>
    <t>ラジオ</t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</si>
  <si>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</si>
  <si>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</si>
  <si>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国、県、市町村の広報紙やホームページ</t>
    <rPh sb="0" eb="1">
      <t>クニ</t>
    </rPh>
    <rPh sb="2" eb="3">
      <t>ケン</t>
    </rPh>
    <rPh sb="4" eb="7">
      <t>シチョウソン</t>
    </rPh>
    <rPh sb="8" eb="10">
      <t>コウホウ</t>
    </rPh>
    <rPh sb="10" eb="11">
      <t>シ</t>
    </rPh>
    <phoneticPr fontId="2"/>
  </si>
  <si>
    <t>自治会の連絡網、回覧板など</t>
    <rPh sb="0" eb="3">
      <t>ジチカイ</t>
    </rPh>
    <rPh sb="4" eb="7">
      <t>レンラクモウ</t>
    </rPh>
    <rPh sb="8" eb="11">
      <t>カイランバン</t>
    </rPh>
    <phoneticPr fontId="2"/>
  </si>
  <si>
    <t>友人、知人からのクチコミ</t>
    <rPh sb="0" eb="2">
      <t>ユウジン</t>
    </rPh>
    <rPh sb="3" eb="5">
      <t>チジン</t>
    </rPh>
    <phoneticPr fontId="2"/>
  </si>
  <si>
    <t>図7-3</t>
    <rPh sb="0" eb="1">
      <t>ズ</t>
    </rPh>
    <phoneticPr fontId="2"/>
  </si>
  <si>
    <t>どちらかといえば住みやすい</t>
  </si>
  <si>
    <t>どちらともいえない</t>
  </si>
  <si>
    <t>どちらかといえば住みにくい</t>
  </si>
  <si>
    <t>住みにくい</t>
  </si>
  <si>
    <t>図7-4</t>
    <rPh sb="0" eb="1">
      <t>ズ</t>
    </rPh>
    <phoneticPr fontId="2"/>
  </si>
  <si>
    <t>A
満足層</t>
    <rPh sb="2" eb="4">
      <t>マンゾク</t>
    </rPh>
    <rPh sb="4" eb="5">
      <t>ソウ</t>
    </rPh>
    <phoneticPr fontId="2"/>
  </si>
  <si>
    <t>B
不満層</t>
    <rPh sb="2" eb="4">
      <t>フマン</t>
    </rPh>
    <rPh sb="4" eb="5">
      <t>ソウ</t>
    </rPh>
    <phoneticPr fontId="2"/>
  </si>
  <si>
    <t>A
肯定層</t>
    <rPh sb="2" eb="4">
      <t>コウテイ</t>
    </rPh>
    <rPh sb="4" eb="5">
      <t>ソウ</t>
    </rPh>
    <phoneticPr fontId="2"/>
  </si>
  <si>
    <t>B
否定層</t>
    <rPh sb="2" eb="4">
      <t>ヒテイ</t>
    </rPh>
    <rPh sb="4" eb="5">
      <t>ソウ</t>
    </rPh>
    <phoneticPr fontId="2"/>
  </si>
  <si>
    <t>図7-5</t>
    <rPh sb="0" eb="1">
      <t>ズ</t>
    </rPh>
    <phoneticPr fontId="2"/>
  </si>
  <si>
    <t>図7-6</t>
    <rPh sb="0" eb="1">
      <t>ズ</t>
    </rPh>
    <phoneticPr fontId="2"/>
  </si>
  <si>
    <t>【居住環境別】</t>
    <rPh sb="1" eb="3">
      <t>キョジュウ</t>
    </rPh>
    <rPh sb="3" eb="5">
      <t>カンキョウ</t>
    </rPh>
    <rPh sb="5" eb="6">
      <t>ベツ</t>
    </rPh>
    <phoneticPr fontId="2"/>
  </si>
  <si>
    <t>働く場が多い</t>
    <rPh sb="0" eb="1">
      <t>ハタラ</t>
    </rPh>
    <rPh sb="2" eb="3">
      <t>バ</t>
    </rPh>
    <rPh sb="4" eb="5">
      <t>オオ</t>
    </rPh>
    <phoneticPr fontId="2"/>
  </si>
  <si>
    <t>その他</t>
    <rPh sb="2" eb="3">
      <t>タ</t>
    </rPh>
    <phoneticPr fontId="2"/>
  </si>
  <si>
    <t>働く場が少ない</t>
    <rPh sb="0" eb="1">
      <t>ハタラ</t>
    </rPh>
    <rPh sb="2" eb="3">
      <t>バ</t>
    </rPh>
    <rPh sb="4" eb="5">
      <t>スク</t>
    </rPh>
    <phoneticPr fontId="2"/>
  </si>
  <si>
    <t>治安が悪い</t>
    <rPh sb="3" eb="4">
      <t>ワル</t>
    </rPh>
    <phoneticPr fontId="2"/>
  </si>
  <si>
    <t>はい</t>
    <phoneticPr fontId="2"/>
  </si>
  <si>
    <t>いいえ</t>
    <phoneticPr fontId="2"/>
  </si>
  <si>
    <t>わからない</t>
    <phoneticPr fontId="2"/>
  </si>
  <si>
    <t>【通勤先別】</t>
    <rPh sb="1" eb="3">
      <t>ツウキン</t>
    </rPh>
    <rPh sb="3" eb="4">
      <t>サキ</t>
    </rPh>
    <rPh sb="4" eb="5">
      <t>ベツ</t>
    </rPh>
    <phoneticPr fontId="2"/>
  </si>
  <si>
    <t>【県外居住経験別】</t>
    <rPh sb="1" eb="3">
      <t>ケンガイ</t>
    </rPh>
    <rPh sb="3" eb="5">
      <t>キョジュウ</t>
    </rPh>
    <rPh sb="5" eb="7">
      <t>ケイケン</t>
    </rPh>
    <rPh sb="7" eb="8">
      <t>ベツ</t>
    </rPh>
    <phoneticPr fontId="2"/>
  </si>
  <si>
    <t>↓層分け</t>
    <rPh sb="1" eb="2">
      <t>ソウ</t>
    </rPh>
    <rPh sb="2" eb="3">
      <t>ワ</t>
    </rPh>
    <phoneticPr fontId="2"/>
  </si>
  <si>
    <t>くらしが苦しくなったと感じる理由</t>
    <rPh sb="4" eb="5">
      <t>クル</t>
    </rPh>
    <rPh sb="11" eb="12">
      <t>カン</t>
    </rPh>
    <rPh sb="14" eb="16">
      <t>リユウ</t>
    </rPh>
    <phoneticPr fontId="2"/>
  </si>
  <si>
    <t>給料等の収入が増えない、または減った</t>
    <rPh sb="0" eb="2">
      <t>キュウリョウ</t>
    </rPh>
    <rPh sb="2" eb="3">
      <t>トウ</t>
    </rPh>
    <rPh sb="4" eb="6">
      <t>シュウニュウ</t>
    </rPh>
    <rPh sb="7" eb="8">
      <t>フ</t>
    </rPh>
    <rPh sb="15" eb="16">
      <t>ヘ</t>
    </rPh>
    <phoneticPr fontId="2"/>
  </si>
  <si>
    <t>食品や日用品、光熱費などの
物価上昇による支出が増えた</t>
    <rPh sb="0" eb="2">
      <t>ショクヒン</t>
    </rPh>
    <rPh sb="3" eb="6">
      <t>ニチヨウヒン</t>
    </rPh>
    <rPh sb="7" eb="10">
      <t>コウネツヒ</t>
    </rPh>
    <rPh sb="14" eb="16">
      <t>ブッカ</t>
    </rPh>
    <rPh sb="16" eb="18">
      <t>ジョウショウ</t>
    </rPh>
    <rPh sb="21" eb="23">
      <t>シシュツ</t>
    </rPh>
    <rPh sb="24" eb="25">
      <t>フ</t>
    </rPh>
    <phoneticPr fontId="2"/>
  </si>
  <si>
    <t>医療・介護費の支出が増えた</t>
    <rPh sb="0" eb="2">
      <t>イリョウ</t>
    </rPh>
    <rPh sb="3" eb="5">
      <t>カイゴ</t>
    </rPh>
    <rPh sb="5" eb="6">
      <t>ヒ</t>
    </rPh>
    <rPh sb="7" eb="9">
      <t>シシュツ</t>
    </rPh>
    <rPh sb="10" eb="11">
      <t>フ</t>
    </rPh>
    <phoneticPr fontId="2"/>
  </si>
  <si>
    <t>保育・教育費の支出が増えた</t>
    <rPh sb="0" eb="2">
      <t>ホイク</t>
    </rPh>
    <rPh sb="3" eb="6">
      <t>キョウイクヒ</t>
    </rPh>
    <rPh sb="7" eb="9">
      <t>シシュツ</t>
    </rPh>
    <rPh sb="10" eb="11">
      <t>フ</t>
    </rPh>
    <phoneticPr fontId="2"/>
  </si>
  <si>
    <t>税金の支出が増えた</t>
    <rPh sb="0" eb="2">
      <t>ゼイキン</t>
    </rPh>
    <rPh sb="3" eb="5">
      <t>シシュツ</t>
    </rPh>
    <rPh sb="6" eb="7">
      <t>フ</t>
    </rPh>
    <phoneticPr fontId="2"/>
  </si>
  <si>
    <t>各種保険料などの支出が増えた</t>
    <rPh sb="0" eb="2">
      <t>カクシュ</t>
    </rPh>
    <rPh sb="2" eb="4">
      <t>ホケン</t>
    </rPh>
    <rPh sb="4" eb="5">
      <t>リョウ</t>
    </rPh>
    <rPh sb="8" eb="10">
      <t>シシュツ</t>
    </rPh>
    <rPh sb="11" eb="12">
      <t>フ</t>
    </rPh>
    <phoneticPr fontId="2"/>
  </si>
  <si>
    <t>総回答数</t>
    <rPh sb="0" eb="1">
      <t>ソウ</t>
    </rPh>
    <rPh sb="1" eb="3">
      <t>カイトウ</t>
    </rPh>
    <rPh sb="3" eb="4">
      <t>スウ</t>
    </rPh>
    <phoneticPr fontId="2"/>
  </si>
  <si>
    <t>総回答数</t>
    <rPh sb="0" eb="1">
      <t>ソウ</t>
    </rPh>
    <rPh sb="1" eb="4">
      <t>カイトウスウ</t>
    </rPh>
    <phoneticPr fontId="2"/>
  </si>
  <si>
    <t>今後のくらしの中で重視していきたいこと</t>
    <rPh sb="0" eb="2">
      <t>コンゴ</t>
    </rPh>
    <rPh sb="7" eb="8">
      <t>ナカ</t>
    </rPh>
    <rPh sb="9" eb="11">
      <t>ジュウシ</t>
    </rPh>
    <phoneticPr fontId="2"/>
  </si>
  <si>
    <t>家計の安定・充実</t>
    <rPh sb="0" eb="2">
      <t>カケイ</t>
    </rPh>
    <rPh sb="3" eb="5">
      <t>アンテイ</t>
    </rPh>
    <rPh sb="6" eb="8">
      <t>ジュウジツ</t>
    </rPh>
    <phoneticPr fontId="2"/>
  </si>
  <si>
    <t>仕事（家業・学業を含む）</t>
    <rPh sb="9" eb="10">
      <t>フク</t>
    </rPh>
    <phoneticPr fontId="2"/>
  </si>
  <si>
    <t>住まいの改善・充実</t>
    <rPh sb="0" eb="1">
      <t>ス</t>
    </rPh>
    <phoneticPr fontId="2"/>
  </si>
  <si>
    <t>図4-3</t>
    <rPh sb="0" eb="1">
      <t>ズ</t>
    </rPh>
    <phoneticPr fontId="2"/>
  </si>
  <si>
    <t>図5-3</t>
    <rPh sb="0" eb="1">
      <t>ズ</t>
    </rPh>
    <phoneticPr fontId="2"/>
  </si>
  <si>
    <t>インターネット（行政機関のホームページを除く）</t>
    <rPh sb="8" eb="10">
      <t>ギョウセイ</t>
    </rPh>
    <rPh sb="10" eb="12">
      <t>キカン</t>
    </rPh>
    <rPh sb="20" eb="21">
      <t>ノゾ</t>
    </rPh>
    <phoneticPr fontId="2"/>
  </si>
  <si>
    <t>メールマガジン</t>
    <phoneticPr fontId="2"/>
  </si>
  <si>
    <t>住みやすい</t>
    <rPh sb="0" eb="1">
      <t>ス</t>
    </rPh>
    <phoneticPr fontId="2"/>
  </si>
  <si>
    <t>図6-4</t>
    <rPh sb="0" eb="1">
      <t>ズ</t>
    </rPh>
    <phoneticPr fontId="2"/>
  </si>
  <si>
    <t>図6-5</t>
    <rPh sb="0" eb="1">
      <t>ズ</t>
    </rPh>
    <phoneticPr fontId="2"/>
  </si>
  <si>
    <t>住んでいる地域が住みやすいと感じる点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</si>
  <si>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自然が豊かである</t>
  </si>
  <si>
    <t>町並みなどの景観がよい</t>
    <rPh sb="0" eb="2">
      <t>マチナ</t>
    </rPh>
    <rPh sb="6" eb="8">
      <t>ケイカン</t>
    </rPh>
    <phoneticPr fontId="2"/>
  </si>
  <si>
    <t>食事、買い物が便利である</t>
    <rPh sb="0" eb="2">
      <t>ショクジ</t>
    </rPh>
    <rPh sb="3" eb="4">
      <t>カ</t>
    </rPh>
    <rPh sb="5" eb="6">
      <t>モノ</t>
    </rPh>
    <rPh sb="7" eb="9">
      <t>ベンリ</t>
    </rPh>
    <phoneticPr fontId="2"/>
  </si>
  <si>
    <t>交通の便がよい</t>
    <rPh sb="0" eb="2">
      <t>コウツウ</t>
    </rPh>
    <rPh sb="3" eb="4">
      <t>ベン</t>
    </rPh>
    <phoneticPr fontId="2"/>
  </si>
  <si>
    <t>教育、文化、スポーツの施設が充実している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</si>
  <si>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医療、福祉サービスが充実している</t>
    <rPh sb="0" eb="2">
      <t>イリョウ</t>
    </rPh>
    <rPh sb="3" eb="5">
      <t>フクシ</t>
    </rPh>
    <rPh sb="10" eb="12">
      <t>ジュウジツ</t>
    </rPh>
    <phoneticPr fontId="2"/>
  </si>
  <si>
    <t>住民相互の交流がある</t>
    <rPh sb="0" eb="2">
      <t>ジュウミン</t>
    </rPh>
    <rPh sb="2" eb="4">
      <t>ソウゴ</t>
    </rPh>
    <rPh sb="5" eb="7">
      <t>コウリュウ</t>
    </rPh>
    <phoneticPr fontId="2"/>
  </si>
  <si>
    <t>災害が少ない</t>
    <rPh sb="0" eb="2">
      <t>サイガイ</t>
    </rPh>
    <rPh sb="3" eb="4">
      <t>スク</t>
    </rPh>
    <phoneticPr fontId="2"/>
  </si>
  <si>
    <t>住んでいる地域が住みにくいと感じる点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</si>
  <si>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町並みなどの景観がよくない</t>
    <rPh sb="0" eb="2">
      <t>マチナ</t>
    </rPh>
    <rPh sb="6" eb="8">
      <t>ケイカン</t>
    </rPh>
    <phoneticPr fontId="2"/>
  </si>
  <si>
    <t>食事、買い物が不便である</t>
    <rPh sb="0" eb="2">
      <t>ショクジ</t>
    </rPh>
    <rPh sb="3" eb="4">
      <t>カ</t>
    </rPh>
    <rPh sb="5" eb="6">
      <t>モノ</t>
    </rPh>
    <rPh sb="7" eb="9">
      <t>フベン</t>
    </rPh>
    <phoneticPr fontId="2"/>
  </si>
  <si>
    <t>交通の便がよくない</t>
    <rPh sb="0" eb="2">
      <t>コウツウ</t>
    </rPh>
    <rPh sb="3" eb="4">
      <t>ベン</t>
    </rPh>
    <phoneticPr fontId="2"/>
  </si>
  <si>
    <t>医療、福祉サービスが充実していない</t>
    <rPh sb="0" eb="2">
      <t>イリョウ</t>
    </rPh>
    <rPh sb="3" eb="5">
      <t>フクシ</t>
    </rPh>
    <rPh sb="10" eb="12">
      <t>ジュウジツ</t>
    </rPh>
    <phoneticPr fontId="2"/>
  </si>
  <si>
    <t>住民相互の交流がない</t>
    <rPh sb="0" eb="2">
      <t>ジュウミン</t>
    </rPh>
    <rPh sb="2" eb="4">
      <t>ソウゴ</t>
    </rPh>
    <rPh sb="5" eb="7">
      <t>コウリュウ</t>
    </rPh>
    <phoneticPr fontId="2"/>
  </si>
  <si>
    <t>災害が多い</t>
    <rPh sb="0" eb="2">
      <t>サイガイ</t>
    </rPh>
    <rPh sb="3" eb="4">
      <t>オオ</t>
    </rPh>
    <phoneticPr fontId="2"/>
  </si>
  <si>
    <t>今後も岐阜県に住み続けたいか</t>
    <rPh sb="0" eb="2">
      <t>コンゴ</t>
    </rPh>
    <rPh sb="3" eb="5">
      <t>ギフ</t>
    </rPh>
    <rPh sb="5" eb="6">
      <t>ケン</t>
    </rPh>
    <rPh sb="7" eb="8">
      <t>ス</t>
    </rPh>
    <rPh sb="9" eb="10">
      <t>ツヅ</t>
    </rPh>
    <phoneticPr fontId="2"/>
  </si>
  <si>
    <t>図7-7</t>
    <rPh sb="0" eb="1">
      <t>ズ</t>
    </rPh>
    <phoneticPr fontId="2"/>
  </si>
  <si>
    <t>図7-8</t>
    <rPh sb="0" eb="1">
      <t>ズ</t>
    </rPh>
    <phoneticPr fontId="2"/>
  </si>
  <si>
    <t>図1-2-3</t>
    <rPh sb="0" eb="1">
      <t>ズ</t>
    </rPh>
    <phoneticPr fontId="2"/>
  </si>
  <si>
    <t>図1-2-4</t>
    <rPh sb="0" eb="1">
      <t>ズ</t>
    </rPh>
    <phoneticPr fontId="2"/>
  </si>
  <si>
    <t>図1-2-5</t>
    <rPh sb="0" eb="1">
      <t>ズ</t>
    </rPh>
    <phoneticPr fontId="2"/>
  </si>
  <si>
    <t>生活面での不安</t>
    <rPh sb="0" eb="2">
      <t>セイカツ</t>
    </rPh>
    <rPh sb="2" eb="3">
      <t>メン</t>
    </rPh>
    <rPh sb="5" eb="7">
      <t>フアン</t>
    </rPh>
    <phoneticPr fontId="2"/>
  </si>
  <si>
    <t>治安がよい</t>
    <phoneticPr fontId="2"/>
  </si>
  <si>
    <t>自然が豊かでない</t>
    <rPh sb="0" eb="2">
      <t>シゼン</t>
    </rPh>
    <rPh sb="3" eb="4">
      <t>ユタカ</t>
    </rPh>
    <phoneticPr fontId="2"/>
  </si>
  <si>
    <t>総回答数</t>
    <rPh sb="0" eb="1">
      <t>ソウ</t>
    </rPh>
    <rPh sb="1" eb="3">
      <t>カイトウ</t>
    </rPh>
    <rPh sb="3" eb="4">
      <t>スウ</t>
    </rPh>
    <phoneticPr fontId="2"/>
  </si>
  <si>
    <t>H27</t>
  </si>
  <si>
    <t>調査数</t>
  </si>
  <si>
    <t>図5-4</t>
    <rPh sb="0" eb="1">
      <t>ズ</t>
    </rPh>
    <phoneticPr fontId="2"/>
  </si>
  <si>
    <t>図5-5</t>
    <rPh sb="0" eb="1">
      <t>ズ</t>
    </rPh>
    <phoneticPr fontId="2"/>
  </si>
  <si>
    <t>図3-4</t>
    <rPh sb="0" eb="1">
      <t>ズ</t>
    </rPh>
    <phoneticPr fontId="2"/>
  </si>
  <si>
    <t>図3-6</t>
    <rPh sb="0" eb="1">
      <t>ズ</t>
    </rPh>
    <phoneticPr fontId="2"/>
  </si>
  <si>
    <t>図3-5</t>
    <rPh sb="0" eb="1">
      <t>ズ</t>
    </rPh>
    <phoneticPr fontId="2"/>
  </si>
  <si>
    <t>図4-6</t>
    <rPh sb="0" eb="1">
      <t>ズ</t>
    </rPh>
    <phoneticPr fontId="2"/>
  </si>
  <si>
    <t>図4-5</t>
    <rPh sb="0" eb="1">
      <t>ズ</t>
    </rPh>
    <phoneticPr fontId="2"/>
  </si>
  <si>
    <t>図4-4</t>
    <rPh sb="0" eb="1">
      <t>ズ</t>
    </rPh>
    <phoneticPr fontId="2"/>
  </si>
  <si>
    <t>図6-6</t>
    <rPh sb="0" eb="1">
      <t>ズ</t>
    </rPh>
    <phoneticPr fontId="2"/>
  </si>
  <si>
    <t>図6-2-4</t>
    <rPh sb="0" eb="1">
      <t>ズ</t>
    </rPh>
    <phoneticPr fontId="2"/>
  </si>
  <si>
    <t>図6-2-3</t>
    <rPh sb="0" eb="1">
      <t>ズ</t>
    </rPh>
    <phoneticPr fontId="2"/>
  </si>
  <si>
    <t>図6-3-3</t>
    <rPh sb="0" eb="1">
      <t>ズ</t>
    </rPh>
    <phoneticPr fontId="2"/>
  </si>
  <si>
    <t>図6-3-4</t>
    <rPh sb="0" eb="1">
      <t>ズ</t>
    </rPh>
    <phoneticPr fontId="2"/>
  </si>
  <si>
    <t>図6-3-5</t>
    <rPh sb="0" eb="1">
      <t>ズ</t>
    </rPh>
    <phoneticPr fontId="2"/>
  </si>
  <si>
    <t>-</t>
    <phoneticPr fontId="2"/>
  </si>
  <si>
    <t>H28</t>
  </si>
  <si>
    <t>図1-2-6</t>
    <rPh sb="0" eb="1">
      <t>ズ</t>
    </rPh>
    <phoneticPr fontId="2"/>
  </si>
  <si>
    <t>無回答</t>
  </si>
  <si>
    <t>趣味・レジャー</t>
  </si>
  <si>
    <t>ラジオ</t>
  </si>
  <si>
    <t>メールマガジン</t>
  </si>
  <si>
    <t>治安がよい</t>
  </si>
  <si>
    <t>　　　　　　　　　　　　　　　　フリーペーパー
（戸別配布される無料の地域情報誌など）</t>
    <rPh sb="25" eb="27">
      <t>コベツ</t>
    </rPh>
    <rPh sb="27" eb="29">
      <t>ハイフ</t>
    </rPh>
    <rPh sb="32" eb="34">
      <t>ムリョウ</t>
    </rPh>
    <rPh sb="35" eb="37">
      <t>チイキ</t>
    </rPh>
    <rPh sb="37" eb="40">
      <t>ジョウホウシ</t>
    </rPh>
    <phoneticPr fontId="2"/>
  </si>
  <si>
    <t>　　　ウォーキングなど気軽に
体を動かせる場が近くにない</t>
    <rPh sb="11" eb="13">
      <t>キガル</t>
    </rPh>
    <rPh sb="15" eb="16">
      <t>カラダ</t>
    </rPh>
    <rPh sb="17" eb="18">
      <t>ウゴ</t>
    </rPh>
    <rPh sb="21" eb="22">
      <t>バ</t>
    </rPh>
    <rPh sb="23" eb="24">
      <t>チカ</t>
    </rPh>
    <phoneticPr fontId="2"/>
  </si>
  <si>
    <t>　　　ウォーキングなど気軽に
体を動かせる場が近くにある</t>
    <rPh sb="11" eb="13">
      <t>キガル</t>
    </rPh>
    <rPh sb="15" eb="16">
      <t>カラダ</t>
    </rPh>
    <rPh sb="17" eb="18">
      <t>ウゴ</t>
    </rPh>
    <rPh sb="21" eb="22">
      <t>バ</t>
    </rPh>
    <rPh sb="23" eb="24">
      <t>チカ</t>
    </rPh>
    <phoneticPr fontId="2"/>
  </si>
  <si>
    <t>教育、文化、スポーツの施設が充実していない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</si>
  <si>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H29</t>
  </si>
  <si>
    <t>H30</t>
  </si>
  <si>
    <t>R1</t>
  </si>
  <si>
    <t>　　　フェイスブック、ツイッターなどのSNS
（ソーシャル・ネットワーキング・サービス）</t>
    <phoneticPr fontId="2"/>
  </si>
  <si>
    <t>図6-2-5</t>
    <rPh sb="0" eb="1">
      <t>ズ</t>
    </rPh>
    <phoneticPr fontId="2"/>
  </si>
  <si>
    <t>給料等の収入が増えない、または減った</t>
  </si>
  <si>
    <t>食品や日用品、光熱費などの
物価上昇による支出が増えた</t>
  </si>
  <si>
    <t>医療・介護費の支出が増えた</t>
  </si>
  <si>
    <t>税金の支出が増えた</t>
  </si>
  <si>
    <t>各種保険料などの支出が増えた</t>
  </si>
  <si>
    <t>保育・教育費の支出が増えた</t>
  </si>
  <si>
    <t>　</t>
    <phoneticPr fontId="2"/>
  </si>
  <si>
    <t>地域の住環境（上下水道、公園、
        道路、公共交通機関など）</t>
    <phoneticPr fontId="2"/>
  </si>
  <si>
    <t>↓</t>
    <phoneticPr fontId="2"/>
  </si>
  <si>
    <t>　</t>
    <phoneticPr fontId="2"/>
  </si>
  <si>
    <t>-</t>
    <phoneticPr fontId="2"/>
  </si>
  <si>
    <t>-</t>
    <phoneticPr fontId="2"/>
  </si>
  <si>
    <t>　　　フェイスブック、ツイッターなどのSNS
（ソーシャル・ネットワーキング・サービス）</t>
  </si>
  <si>
    <t>テレビのデータ放送</t>
  </si>
  <si>
    <t>テレビ（データ放送を除く）</t>
  </si>
  <si>
    <t>健康・体力</t>
  </si>
  <si>
    <t>収入・貯蓄</t>
  </si>
  <si>
    <t>仕事</t>
  </si>
  <si>
    <t>地域の住環境（上下水道、公園、
        道路、公共交通機関など）</t>
  </si>
  <si>
    <t>健康・体力づくり</t>
  </si>
  <si>
    <t>家計の安定・充実</t>
  </si>
  <si>
    <t>仕事（家業・学業を含む）</t>
  </si>
  <si>
    <t>住まいの改善・充実</t>
  </si>
  <si>
    <t>知識や教養の向上</t>
  </si>
  <si>
    <t>ボランティアや地域活動</t>
  </si>
  <si>
    <t>社会的地位の向上</t>
  </si>
  <si>
    <t>インターネット（行政機関のホームページを除く）</t>
  </si>
  <si>
    <t>新聞</t>
  </si>
  <si>
    <t>友人、知人からのクチコミ</t>
  </si>
  <si>
    <t>国、県、市町村の広報紙やホームページ</t>
  </si>
  <si>
    <t>自治会の連絡網、回覧板など</t>
  </si>
  <si>
    <t>　　　　　　　　　　　　　　　　フリーペーパー
（戸別配布される無料の地域情報誌など）</t>
  </si>
  <si>
    <t>雑誌</t>
  </si>
  <si>
    <t>食事、買い物が便利である</t>
  </si>
  <si>
    <t>災害が少ない</t>
  </si>
  <si>
    <t>交通の便がよい</t>
  </si>
  <si>
    <t>　　　ウォーキングなど気軽に
体を動かせる場が近くにある</t>
  </si>
  <si>
    <t>医療、福祉サービスが充実している</t>
  </si>
  <si>
    <t>住民相互の交流がある</t>
  </si>
  <si>
    <t>町並みなどの景観がよい</t>
  </si>
  <si>
    <t>教育、文化、スポーツの施設が充実している</t>
  </si>
  <si>
    <t>働く場が多い</t>
  </si>
  <si>
    <t>自然が豊かでない</t>
  </si>
  <si>
    <t>食事、買い物が不便である</t>
  </si>
  <si>
    <t>災害が多い</t>
  </si>
  <si>
    <t>交通の便がよくない</t>
  </si>
  <si>
    <t>医療、福祉サービスが充実していない</t>
  </si>
  <si>
    <t>町並みなどの景観がよくない</t>
  </si>
  <si>
    <t>　　　ウォーキングなど気軽に
体を動かせる場が近くにない</t>
  </si>
  <si>
    <t>働く場が少ない</t>
  </si>
  <si>
    <t>治安が悪い</t>
  </si>
  <si>
    <t>教育、文化、スポーツの施設が充実していない</t>
  </si>
  <si>
    <t>住民相互の交流がない</t>
  </si>
  <si>
    <t>回答者数</t>
    <rPh sb="0" eb="4">
      <t>カイトウシャスウ</t>
    </rPh>
    <phoneticPr fontId="2"/>
  </si>
  <si>
    <t>総回答数</t>
    <rPh sb="0" eb="3">
      <t>ソウカイトウ</t>
    </rPh>
    <rPh sb="3" eb="4">
      <t>スウ</t>
    </rPh>
    <phoneticPr fontId="2"/>
  </si>
  <si>
    <t>回答者数</t>
    <rPh sb="0" eb="4">
      <t>カイトウシャスウ</t>
    </rPh>
    <phoneticPr fontId="2"/>
  </si>
  <si>
    <t>R2</t>
  </si>
  <si>
    <t>図2-3</t>
    <rPh sb="0" eb="1">
      <t>ズ</t>
    </rPh>
    <phoneticPr fontId="2"/>
  </si>
  <si>
    <t xml:space="preserve"> </t>
    <phoneticPr fontId="2"/>
  </si>
  <si>
    <t>全体(n = 1003 )※　　</t>
    <phoneticPr fontId="2"/>
  </si>
  <si>
    <t>R3</t>
  </si>
  <si>
    <t>1,616</t>
    <phoneticPr fontId="2"/>
  </si>
  <si>
    <t>R4</t>
  </si>
  <si>
    <t>R4</t>
    <phoneticPr fontId="2"/>
  </si>
  <si>
    <t>自由業
学生を</t>
    <phoneticPr fontId="2"/>
  </si>
  <si>
    <t>含むver</t>
    <phoneticPr fontId="2"/>
  </si>
  <si>
    <t>1,753</t>
    <phoneticPr fontId="2"/>
  </si>
  <si>
    <t>2,255</t>
    <phoneticPr fontId="2"/>
  </si>
  <si>
    <t>1,550</t>
    <phoneticPr fontId="2"/>
  </si>
  <si>
    <t>1,105</t>
    <phoneticPr fontId="2"/>
  </si>
  <si>
    <t>2,026</t>
    <phoneticPr fontId="2"/>
  </si>
  <si>
    <t>1,944</t>
    <phoneticPr fontId="2"/>
  </si>
  <si>
    <t>2,513</t>
    <phoneticPr fontId="2"/>
  </si>
  <si>
    <t>1,714</t>
    <phoneticPr fontId="2"/>
  </si>
  <si>
    <t>1,198</t>
    <phoneticPr fontId="2"/>
  </si>
  <si>
    <t>2,184</t>
    <phoneticPr fontId="2"/>
  </si>
  <si>
    <t>2,130</t>
    <phoneticPr fontId="2"/>
  </si>
  <si>
    <t>2,429</t>
    <phoneticPr fontId="2"/>
  </si>
  <si>
    <t>3,363</t>
    <phoneticPr fontId="2"/>
  </si>
  <si>
    <t>1,183</t>
    <phoneticPr fontId="2"/>
  </si>
  <si>
    <t>1,309</t>
    <phoneticPr fontId="2"/>
  </si>
  <si>
    <t>1,178</t>
    <phoneticPr fontId="2"/>
  </si>
  <si>
    <t>2,217</t>
    <phoneticPr fontId="2"/>
  </si>
  <si>
    <t>1,049</t>
    <phoneticPr fontId="2"/>
  </si>
  <si>
    <t>1,096</t>
    <phoneticPr fontId="2"/>
  </si>
  <si>
    <t>全体(n = 1,616 )　　</t>
    <phoneticPr fontId="2"/>
  </si>
  <si>
    <t>1,469</t>
    <phoneticPr fontId="2"/>
  </si>
  <si>
    <t>1,880</t>
    <phoneticPr fontId="2"/>
  </si>
  <si>
    <t>1,337</t>
    <phoneticPr fontId="2"/>
  </si>
  <si>
    <t>n = 793</t>
    <phoneticPr fontId="2"/>
  </si>
  <si>
    <t>n = 752</t>
    <phoneticPr fontId="2"/>
  </si>
  <si>
    <t>1,045</t>
    <phoneticPr fontId="2"/>
  </si>
  <si>
    <t>1,839</t>
    <phoneticPr fontId="2"/>
  </si>
  <si>
    <t>ラジオ（県の広報番組）</t>
  </si>
  <si>
    <t>テレビ（データ放送）</t>
  </si>
  <si>
    <t>ラジオ（ニュース）</t>
  </si>
  <si>
    <t>インターネット（岐阜県庁ホームページ）</t>
  </si>
  <si>
    <t>パンフレット、ポスター</t>
  </si>
  <si>
    <t>テレビ（県の広報番組）</t>
  </si>
  <si>
    <t>インターネット（ニュース）</t>
  </si>
  <si>
    <t>新聞の記事</t>
  </si>
  <si>
    <t>　　　　　　岐阜県広報「岐阜県からのお知らせ」
（市町村広報紙、地域情報誌（フリーペーパー）
　　　　　　　　　又は行政情報アプリなどに掲載）</t>
    <rPh sb="6" eb="9">
      <t>ギフケン</t>
    </rPh>
    <rPh sb="25" eb="28">
      <t>シチョウソン</t>
    </rPh>
    <rPh sb="28" eb="30">
      <t>コウホウ</t>
    </rPh>
    <rPh sb="30" eb="31">
      <t>カミ</t>
    </rPh>
    <rPh sb="32" eb="34">
      <t>チイキ</t>
    </rPh>
    <rPh sb="34" eb="37">
      <t>ジョウホウシ</t>
    </rPh>
    <rPh sb="56" eb="57">
      <t>マタ</t>
    </rPh>
    <rPh sb="58" eb="60">
      <t>ギョウセイ</t>
    </rPh>
    <rPh sb="60" eb="62">
      <t>ジョウホウ</t>
    </rPh>
    <rPh sb="68" eb="70">
      <t>ケイサイ</t>
    </rPh>
    <phoneticPr fontId="2"/>
  </si>
  <si>
    <t>テレビ（ニュース）</t>
  </si>
  <si>
    <t>1,421</t>
    <phoneticPr fontId="2"/>
  </si>
  <si>
    <t>図8-5</t>
    <rPh sb="0" eb="1">
      <t>ズ</t>
    </rPh>
    <phoneticPr fontId="2"/>
  </si>
  <si>
    <t>　　　　　　岐阜県広報「岐阜県からのお知らせ」
（市町村広報紙、地域情報誌（フリーペーパー）
　　　　　　　　　又は行政情報アプリなどに掲載）</t>
  </si>
  <si>
    <t>図8-4</t>
    <rPh sb="0" eb="1">
      <t>ズ</t>
    </rPh>
    <phoneticPr fontId="2"/>
  </si>
  <si>
    <t>2,092</t>
    <phoneticPr fontId="2"/>
  </si>
  <si>
    <t>1,569</t>
    <phoneticPr fontId="2"/>
  </si>
  <si>
    <t>パンフレット、ポスター</t>
    <phoneticPr fontId="2"/>
  </si>
  <si>
    <t>インターネット（岐阜県庁ホームページ）</t>
    <phoneticPr fontId="2"/>
  </si>
  <si>
    <t>インターネット（ニュース）</t>
    <phoneticPr fontId="2"/>
  </si>
  <si>
    <t>ラジオ（県の広報番組）</t>
    <phoneticPr fontId="2"/>
  </si>
  <si>
    <t>ラジオ（ニュース）</t>
    <phoneticPr fontId="2"/>
  </si>
  <si>
    <t>テレビ（データ放送）</t>
    <phoneticPr fontId="2"/>
  </si>
  <si>
    <t>テレビ（県の広報番組）</t>
    <phoneticPr fontId="2"/>
  </si>
  <si>
    <t>テレビ（ニュース）</t>
    <phoneticPr fontId="2"/>
  </si>
  <si>
    <t>新聞の記事</t>
    <phoneticPr fontId="2"/>
  </si>
  <si>
    <t>施策や事業についての情報の入手方法</t>
    <rPh sb="0" eb="2">
      <t>シサク</t>
    </rPh>
    <rPh sb="3" eb="5">
      <t>ジギョウ</t>
    </rPh>
    <rPh sb="10" eb="12">
      <t>ジョウホウ</t>
    </rPh>
    <rPh sb="13" eb="15">
      <t>ニュウシュ</t>
    </rPh>
    <rPh sb="15" eb="17">
      <t>ホウホウ</t>
    </rPh>
    <phoneticPr fontId="2"/>
  </si>
  <si>
    <t>図8-3</t>
    <rPh sb="0" eb="1">
      <t>ズ</t>
    </rPh>
    <phoneticPr fontId="2"/>
  </si>
  <si>
    <t>B
無関心層</t>
    <rPh sb="2" eb="3">
      <t>ム</t>
    </rPh>
    <rPh sb="3" eb="5">
      <t>カンシン</t>
    </rPh>
    <rPh sb="5" eb="6">
      <t>ソウ</t>
    </rPh>
    <phoneticPr fontId="2"/>
  </si>
  <si>
    <t>A
関心層</t>
    <rPh sb="2" eb="4">
      <t>カンシン</t>
    </rPh>
    <rPh sb="4" eb="5">
      <t>ソウ</t>
    </rPh>
    <phoneticPr fontId="2"/>
  </si>
  <si>
    <t>図9-7</t>
    <rPh sb="0" eb="1">
      <t>ズ</t>
    </rPh>
    <phoneticPr fontId="2"/>
  </si>
  <si>
    <t>図9-6</t>
    <rPh sb="0" eb="1">
      <t>ズ</t>
    </rPh>
    <phoneticPr fontId="2"/>
  </si>
  <si>
    <t>図9-5</t>
    <rPh sb="0" eb="1">
      <t>ズ</t>
    </rPh>
    <phoneticPr fontId="2"/>
  </si>
  <si>
    <t>関心がない</t>
    <rPh sb="0" eb="2">
      <t>カンシン</t>
    </rPh>
    <phoneticPr fontId="2"/>
  </si>
  <si>
    <t>どちらかといえば関心がない</t>
    <rPh sb="8" eb="10">
      <t>カンシン</t>
    </rPh>
    <phoneticPr fontId="2"/>
  </si>
  <si>
    <t>どちらかといえば関心がある</t>
    <rPh sb="8" eb="10">
      <t>カンシン</t>
    </rPh>
    <phoneticPr fontId="2"/>
  </si>
  <si>
    <t>関心がある</t>
    <rPh sb="0" eb="2">
      <t>カンシン</t>
    </rPh>
    <phoneticPr fontId="2"/>
  </si>
  <si>
    <t>図9-4</t>
    <rPh sb="0" eb="1">
      <t>ズ</t>
    </rPh>
    <phoneticPr fontId="2"/>
  </si>
  <si>
    <t>無関心層</t>
    <rPh sb="0" eb="3">
      <t>ムカンシン</t>
    </rPh>
    <rPh sb="3" eb="4">
      <t>ソウ</t>
    </rPh>
    <phoneticPr fontId="2"/>
  </si>
  <si>
    <t>関心層</t>
    <rPh sb="0" eb="2">
      <t>カンシン</t>
    </rPh>
    <rPh sb="2" eb="3">
      <t>ソウ</t>
    </rPh>
    <phoneticPr fontId="2"/>
  </si>
  <si>
    <t>県事業への関心の有無</t>
    <rPh sb="0" eb="1">
      <t>ケン</t>
    </rPh>
    <rPh sb="1" eb="3">
      <t>ジギョウ</t>
    </rPh>
    <rPh sb="5" eb="7">
      <t>カンシン</t>
    </rPh>
    <rPh sb="8" eb="10">
      <t>ウム</t>
    </rPh>
    <phoneticPr fontId="2"/>
  </si>
  <si>
    <t>図9-3</t>
    <rPh sb="0" eb="1">
      <t>ズ</t>
    </rPh>
    <phoneticPr fontId="2"/>
  </si>
  <si>
    <t>その他に
自由業
学生を</t>
    <phoneticPr fontId="2"/>
  </si>
  <si>
    <t>図9-2-6</t>
    <rPh sb="0" eb="1">
      <t>ズ</t>
    </rPh>
    <phoneticPr fontId="2"/>
  </si>
  <si>
    <t>図9-2-5</t>
    <rPh sb="0" eb="1">
      <t>ズ</t>
    </rPh>
    <phoneticPr fontId="2"/>
  </si>
  <si>
    <t>図9-2-4</t>
    <rPh sb="0" eb="1">
      <t>ズ</t>
    </rPh>
    <phoneticPr fontId="2"/>
  </si>
  <si>
    <t>自分たちの意見が反映されるとは思えないから</t>
    <phoneticPr fontId="2"/>
  </si>
  <si>
    <t>県の施設を利用したり、県の仕事に接する機会が少ないから</t>
    <phoneticPr fontId="2"/>
  </si>
  <si>
    <t>県の仕事は、自分に関係がないから</t>
    <rPh sb="6" eb="8">
      <t>ジブン</t>
    </rPh>
    <rPh sb="9" eb="11">
      <t>カンケイ</t>
    </rPh>
    <phoneticPr fontId="2"/>
  </si>
  <si>
    <t>県がどのような仕事をしているのか知らないから</t>
    <rPh sb="7" eb="9">
      <t>シゴト</t>
    </rPh>
    <rPh sb="16" eb="17">
      <t>シ</t>
    </rPh>
    <phoneticPr fontId="2"/>
  </si>
  <si>
    <t>県の行政そのものに興味がないから</t>
    <phoneticPr fontId="2"/>
  </si>
  <si>
    <t>県事業に関心がない理由</t>
    <rPh sb="0" eb="1">
      <t>ケン</t>
    </rPh>
    <rPh sb="1" eb="3">
      <t>ジギョウ</t>
    </rPh>
    <rPh sb="4" eb="6">
      <t>カンシン</t>
    </rPh>
    <rPh sb="9" eb="11">
      <t>リユウ</t>
    </rPh>
    <phoneticPr fontId="2"/>
  </si>
  <si>
    <t>図9-2-3</t>
    <rPh sb="0" eb="1">
      <t>ズ</t>
    </rPh>
    <phoneticPr fontId="2"/>
  </si>
  <si>
    <t>様々な産業を担う人材の育成</t>
  </si>
  <si>
    <t>労働環境改善</t>
  </si>
  <si>
    <t>林業振興</t>
  </si>
  <si>
    <t>女性の活躍推進</t>
  </si>
  <si>
    <t>薬物対策</t>
  </si>
  <si>
    <t>消費者保護</t>
  </si>
  <si>
    <t>若者の県内定着</t>
  </si>
  <si>
    <t>成長産業分野の振興</t>
  </si>
  <si>
    <t>少子化対策</t>
  </si>
  <si>
    <t>就労支援</t>
  </si>
  <si>
    <t>企業誘致</t>
  </si>
  <si>
    <t>住環境保全</t>
  </si>
  <si>
    <t>県外からの移住・定住の推進</t>
  </si>
  <si>
    <t>社会教育・生涯学習の充実</t>
  </si>
  <si>
    <t>中小企業支援</t>
  </si>
  <si>
    <t>砂防対策</t>
  </si>
  <si>
    <t>農業等振興</t>
  </si>
  <si>
    <t>公共交通の充実</t>
  </si>
  <si>
    <t>文化・芸術の振興</t>
  </si>
  <si>
    <t>食品の安全対策</t>
  </si>
  <si>
    <t>障がい者福祉</t>
  </si>
  <si>
    <t>スポーツやレクリエーション
                        の推進</t>
  </si>
  <si>
    <t>地域コミュニティの活性化</t>
  </si>
  <si>
    <t>学校教育の充実</t>
  </si>
  <si>
    <t>公園整備</t>
  </si>
  <si>
    <t>健康増進</t>
  </si>
  <si>
    <t>観光振興</t>
  </si>
  <si>
    <t>廃棄物対策</t>
  </si>
  <si>
    <t>自然環境保全</t>
  </si>
  <si>
    <t>河川整備・維持管理</t>
  </si>
  <si>
    <t>防犯・交通安全対策</t>
  </si>
  <si>
    <t>子育て支援</t>
  </si>
  <si>
    <t>地域医療の確保</t>
  </si>
  <si>
    <t>高齢者福祉</t>
  </si>
  <si>
    <t>道路整備・維持管理</t>
  </si>
  <si>
    <t>防災対策</t>
  </si>
  <si>
    <t>多い順（上位10）</t>
    <rPh sb="0" eb="1">
      <t>オオ</t>
    </rPh>
    <rPh sb="2" eb="3">
      <t>ジュン</t>
    </rPh>
    <rPh sb="4" eb="6">
      <t>ジョウイ</t>
    </rPh>
    <phoneticPr fontId="2"/>
  </si>
  <si>
    <t>その他に自由業・学生を含むVer.</t>
    <rPh sb="2" eb="3">
      <t>タ</t>
    </rPh>
    <rPh sb="4" eb="7">
      <t>ジユウギョウ</t>
    </rPh>
    <rPh sb="8" eb="10">
      <t>ガクセイ</t>
    </rPh>
    <rPh sb="11" eb="12">
      <t>フク</t>
    </rPh>
    <phoneticPr fontId="2"/>
  </si>
  <si>
    <t>図10-1-6</t>
    <rPh sb="0" eb="1">
      <t>ズ</t>
    </rPh>
    <phoneticPr fontId="2"/>
  </si>
  <si>
    <t>図10-1-5</t>
    <rPh sb="0" eb="1">
      <t>ズ</t>
    </rPh>
    <phoneticPr fontId="2"/>
  </si>
  <si>
    <t>図10-1-4</t>
    <rPh sb="0" eb="1">
      <t>ズ</t>
    </rPh>
    <phoneticPr fontId="2"/>
  </si>
  <si>
    <t>様々な産業を担う人材の育成</t>
    <rPh sb="0" eb="2">
      <t>サマザマ</t>
    </rPh>
    <rPh sb="3" eb="5">
      <t>サンギョウ</t>
    </rPh>
    <rPh sb="6" eb="7">
      <t>ニナ</t>
    </rPh>
    <rPh sb="8" eb="10">
      <t>ジンザイ</t>
    </rPh>
    <rPh sb="11" eb="13">
      <t>イクセイ</t>
    </rPh>
    <phoneticPr fontId="2"/>
  </si>
  <si>
    <t>労働環境改善</t>
    <rPh sb="0" eb="2">
      <t>ロウドウ</t>
    </rPh>
    <rPh sb="2" eb="4">
      <t>カンキョウ</t>
    </rPh>
    <rPh sb="4" eb="6">
      <t>カイゼン</t>
    </rPh>
    <phoneticPr fontId="2"/>
  </si>
  <si>
    <t>林業振興</t>
    <rPh sb="0" eb="2">
      <t>リンギョウ</t>
    </rPh>
    <rPh sb="2" eb="4">
      <t>シンコウ</t>
    </rPh>
    <phoneticPr fontId="2"/>
  </si>
  <si>
    <t>女性の活躍推進</t>
    <rPh sb="0" eb="2">
      <t>ジョセイ</t>
    </rPh>
    <rPh sb="3" eb="5">
      <t>カツヤク</t>
    </rPh>
    <rPh sb="5" eb="7">
      <t>スイシン</t>
    </rPh>
    <phoneticPr fontId="2"/>
  </si>
  <si>
    <t>薬物対策</t>
    <rPh sb="0" eb="2">
      <t>ヤクブツ</t>
    </rPh>
    <rPh sb="2" eb="4">
      <t>タイサク</t>
    </rPh>
    <phoneticPr fontId="2"/>
  </si>
  <si>
    <t>消費者保護</t>
    <rPh sb="0" eb="3">
      <t>ショウヒシャ</t>
    </rPh>
    <rPh sb="3" eb="5">
      <t>ホゴ</t>
    </rPh>
    <phoneticPr fontId="2"/>
  </si>
  <si>
    <t>若者の県内定着</t>
    <rPh sb="0" eb="2">
      <t>ワカモノ</t>
    </rPh>
    <rPh sb="3" eb="5">
      <t>ケンナイ</t>
    </rPh>
    <rPh sb="5" eb="7">
      <t>テイチャク</t>
    </rPh>
    <phoneticPr fontId="2"/>
  </si>
  <si>
    <t>成長産業分野の振興</t>
    <rPh sb="0" eb="2">
      <t>セイチョウ</t>
    </rPh>
    <rPh sb="2" eb="4">
      <t>サンギョウ</t>
    </rPh>
    <rPh sb="4" eb="6">
      <t>ブンヤ</t>
    </rPh>
    <rPh sb="7" eb="9">
      <t>シンコウ</t>
    </rPh>
    <phoneticPr fontId="2"/>
  </si>
  <si>
    <t>少子化対策</t>
    <rPh sb="0" eb="3">
      <t>ショウシカ</t>
    </rPh>
    <rPh sb="3" eb="5">
      <t>タイサク</t>
    </rPh>
    <phoneticPr fontId="2"/>
  </si>
  <si>
    <t>就労支援</t>
    <rPh sb="0" eb="2">
      <t>シュウロウ</t>
    </rPh>
    <rPh sb="2" eb="4">
      <t>シエン</t>
    </rPh>
    <phoneticPr fontId="2"/>
  </si>
  <si>
    <t>企業誘致</t>
    <rPh sb="0" eb="2">
      <t>キギョウ</t>
    </rPh>
    <rPh sb="2" eb="4">
      <t>ユウチ</t>
    </rPh>
    <phoneticPr fontId="2"/>
  </si>
  <si>
    <t>住環境保全</t>
    <rPh sb="0" eb="3">
      <t>ジュウカンキョウ</t>
    </rPh>
    <rPh sb="3" eb="5">
      <t>ホゼン</t>
    </rPh>
    <phoneticPr fontId="2"/>
  </si>
  <si>
    <t>県外からの移住・定住の推進</t>
    <rPh sb="0" eb="2">
      <t>ケンガイ</t>
    </rPh>
    <rPh sb="5" eb="7">
      <t>イジュウ</t>
    </rPh>
    <rPh sb="8" eb="10">
      <t>テイジュウ</t>
    </rPh>
    <rPh sb="11" eb="13">
      <t>スイシン</t>
    </rPh>
    <phoneticPr fontId="2"/>
  </si>
  <si>
    <t>社会教育・生涯学習の充実</t>
    <rPh sb="0" eb="2">
      <t>シャカイ</t>
    </rPh>
    <rPh sb="2" eb="4">
      <t>キョウイク</t>
    </rPh>
    <rPh sb="5" eb="7">
      <t>ショウガイ</t>
    </rPh>
    <rPh sb="7" eb="9">
      <t>ガクシュウ</t>
    </rPh>
    <rPh sb="10" eb="12">
      <t>ジュウジツ</t>
    </rPh>
    <phoneticPr fontId="2"/>
  </si>
  <si>
    <t>中小企業支援</t>
    <rPh sb="0" eb="2">
      <t>チュウショウ</t>
    </rPh>
    <rPh sb="2" eb="4">
      <t>キギョウ</t>
    </rPh>
    <rPh sb="4" eb="6">
      <t>シエン</t>
    </rPh>
    <phoneticPr fontId="2"/>
  </si>
  <si>
    <t>砂防対策</t>
    <rPh sb="0" eb="2">
      <t>サボウ</t>
    </rPh>
    <rPh sb="2" eb="4">
      <t>タイサク</t>
    </rPh>
    <phoneticPr fontId="2"/>
  </si>
  <si>
    <t>農業等振興</t>
    <rPh sb="0" eb="2">
      <t>ノウギョウ</t>
    </rPh>
    <rPh sb="2" eb="3">
      <t>トウ</t>
    </rPh>
    <rPh sb="3" eb="5">
      <t>シンコウ</t>
    </rPh>
    <phoneticPr fontId="2"/>
  </si>
  <si>
    <t>公共交通の充実</t>
    <rPh sb="0" eb="2">
      <t>コウキョウ</t>
    </rPh>
    <rPh sb="2" eb="4">
      <t>コウツウ</t>
    </rPh>
    <rPh sb="5" eb="7">
      <t>ジュウジツ</t>
    </rPh>
    <phoneticPr fontId="2"/>
  </si>
  <si>
    <t>文化・芸術の振興</t>
    <rPh sb="0" eb="2">
      <t>ブンカ</t>
    </rPh>
    <rPh sb="3" eb="5">
      <t>ゲイジュツ</t>
    </rPh>
    <rPh sb="6" eb="8">
      <t>シンコウ</t>
    </rPh>
    <phoneticPr fontId="2"/>
  </si>
  <si>
    <t>食品の安全対策</t>
    <rPh sb="0" eb="2">
      <t>ショクヒン</t>
    </rPh>
    <rPh sb="3" eb="5">
      <t>アンゼン</t>
    </rPh>
    <rPh sb="5" eb="7">
      <t>タイサク</t>
    </rPh>
    <phoneticPr fontId="2"/>
  </si>
  <si>
    <t>障がい者福祉</t>
    <rPh sb="0" eb="1">
      <t>ショウ</t>
    </rPh>
    <rPh sb="3" eb="4">
      <t>シャ</t>
    </rPh>
    <rPh sb="4" eb="6">
      <t>フクシ</t>
    </rPh>
    <phoneticPr fontId="2"/>
  </si>
  <si>
    <t>スポーツやレクリエーション
                        の推進</t>
    <rPh sb="39" eb="41">
      <t>スイシン</t>
    </rPh>
    <phoneticPr fontId="2"/>
  </si>
  <si>
    <t>地域コミュニティの活性化</t>
    <rPh sb="0" eb="2">
      <t>チイキ</t>
    </rPh>
    <rPh sb="9" eb="12">
      <t>カッセイカ</t>
    </rPh>
    <phoneticPr fontId="2"/>
  </si>
  <si>
    <t>学校教育の充実</t>
    <rPh sb="0" eb="2">
      <t>ガッコウ</t>
    </rPh>
    <rPh sb="2" eb="4">
      <t>キョウイク</t>
    </rPh>
    <rPh sb="5" eb="7">
      <t>ジュウジツ</t>
    </rPh>
    <phoneticPr fontId="2"/>
  </si>
  <si>
    <t>公園整備</t>
    <rPh sb="0" eb="2">
      <t>コウエン</t>
    </rPh>
    <rPh sb="2" eb="4">
      <t>セイビ</t>
    </rPh>
    <phoneticPr fontId="2"/>
  </si>
  <si>
    <t>健康増進</t>
    <rPh sb="0" eb="2">
      <t>ケンコウ</t>
    </rPh>
    <rPh sb="2" eb="4">
      <t>ゾウシン</t>
    </rPh>
    <phoneticPr fontId="2"/>
  </si>
  <si>
    <t>観光振興</t>
    <rPh sb="0" eb="2">
      <t>カンコウ</t>
    </rPh>
    <rPh sb="2" eb="4">
      <t>シンコウ</t>
    </rPh>
    <phoneticPr fontId="2"/>
  </si>
  <si>
    <t>廃棄物対策</t>
    <rPh sb="0" eb="3">
      <t>ハイキブツ</t>
    </rPh>
    <rPh sb="3" eb="5">
      <t>タイサク</t>
    </rPh>
    <phoneticPr fontId="2"/>
  </si>
  <si>
    <t>自然環境保全</t>
    <rPh sb="0" eb="2">
      <t>シゼン</t>
    </rPh>
    <rPh sb="2" eb="4">
      <t>カンキョウ</t>
    </rPh>
    <rPh sb="4" eb="6">
      <t>ホゼン</t>
    </rPh>
    <phoneticPr fontId="2"/>
  </si>
  <si>
    <t>河川整備・維持管理</t>
    <rPh sb="0" eb="2">
      <t>カセン</t>
    </rPh>
    <rPh sb="2" eb="4">
      <t>セイビ</t>
    </rPh>
    <rPh sb="5" eb="7">
      <t>イジ</t>
    </rPh>
    <rPh sb="7" eb="9">
      <t>カンリ</t>
    </rPh>
    <phoneticPr fontId="2"/>
  </si>
  <si>
    <t>防犯・交通安全対策</t>
    <rPh sb="0" eb="2">
      <t>ボウハン</t>
    </rPh>
    <rPh sb="3" eb="5">
      <t>コウツウ</t>
    </rPh>
    <rPh sb="5" eb="7">
      <t>アンゼン</t>
    </rPh>
    <rPh sb="7" eb="9">
      <t>タイサク</t>
    </rPh>
    <phoneticPr fontId="2"/>
  </si>
  <si>
    <t>子育て支援</t>
    <rPh sb="0" eb="2">
      <t>コソダ</t>
    </rPh>
    <rPh sb="3" eb="5">
      <t>シエン</t>
    </rPh>
    <phoneticPr fontId="2"/>
  </si>
  <si>
    <t>地域医療の確保</t>
    <rPh sb="0" eb="2">
      <t>チイキ</t>
    </rPh>
    <rPh sb="2" eb="4">
      <t>イリョウ</t>
    </rPh>
    <rPh sb="5" eb="7">
      <t>カクホ</t>
    </rPh>
    <phoneticPr fontId="2"/>
  </si>
  <si>
    <t>高齢者福祉</t>
    <rPh sb="0" eb="3">
      <t>コウレイシャ</t>
    </rPh>
    <rPh sb="3" eb="5">
      <t>フクシ</t>
    </rPh>
    <phoneticPr fontId="2"/>
  </si>
  <si>
    <t>道路整備・維持管理</t>
    <rPh sb="0" eb="2">
      <t>ドウロ</t>
    </rPh>
    <rPh sb="2" eb="4">
      <t>セイビ</t>
    </rPh>
    <rPh sb="5" eb="7">
      <t>イジ</t>
    </rPh>
    <rPh sb="7" eb="9">
      <t>カンリ</t>
    </rPh>
    <phoneticPr fontId="2"/>
  </si>
  <si>
    <t>防災対策</t>
    <rPh sb="2" eb="4">
      <t>タイサク</t>
    </rPh>
    <phoneticPr fontId="2"/>
  </si>
  <si>
    <t>県の取り組みでよくやっていると思う分野</t>
    <rPh sb="0" eb="1">
      <t>ケン</t>
    </rPh>
    <rPh sb="2" eb="3">
      <t>ト</t>
    </rPh>
    <rPh sb="4" eb="5">
      <t>ク</t>
    </rPh>
    <rPh sb="15" eb="16">
      <t>オモ</t>
    </rPh>
    <rPh sb="17" eb="19">
      <t>ブンヤ</t>
    </rPh>
    <phoneticPr fontId="2"/>
  </si>
  <si>
    <t>図10-3</t>
    <rPh sb="0" eb="1">
      <t>ズ</t>
    </rPh>
    <phoneticPr fontId="2"/>
  </si>
  <si>
    <t>スポーツやレクリエーションの推進</t>
  </si>
  <si>
    <t>図10-2-6</t>
    <rPh sb="0" eb="1">
      <t>ズ</t>
    </rPh>
    <phoneticPr fontId="2"/>
  </si>
  <si>
    <t>図10-2-5</t>
    <rPh sb="0" eb="1">
      <t>ズ</t>
    </rPh>
    <phoneticPr fontId="2"/>
  </si>
  <si>
    <t>図10-2-4</t>
    <rPh sb="0" eb="1">
      <t>ズ</t>
    </rPh>
    <phoneticPr fontId="2"/>
  </si>
  <si>
    <t>スポーツやレクリエーションの推進</t>
    <rPh sb="14" eb="16">
      <t>スイシン</t>
    </rPh>
    <phoneticPr fontId="2"/>
  </si>
  <si>
    <t>県の取り組みで努力が足りないと思う分野</t>
    <rPh sb="0" eb="1">
      <t>ケン</t>
    </rPh>
    <rPh sb="2" eb="3">
      <t>ト</t>
    </rPh>
    <rPh sb="4" eb="5">
      <t>ク</t>
    </rPh>
    <rPh sb="7" eb="9">
      <t>ドリョク</t>
    </rPh>
    <rPh sb="10" eb="11">
      <t>タ</t>
    </rPh>
    <rPh sb="15" eb="16">
      <t>オモ</t>
    </rPh>
    <rPh sb="17" eb="19">
      <t>ブンヤ</t>
    </rPh>
    <phoneticPr fontId="2"/>
  </si>
  <si>
    <t>図10-2-3</t>
    <rPh sb="0" eb="1">
      <t>ズ</t>
    </rPh>
    <phoneticPr fontId="2"/>
  </si>
  <si>
    <t>図11-1-6</t>
    <rPh sb="0" eb="1">
      <t>ズ</t>
    </rPh>
    <phoneticPr fontId="2"/>
  </si>
  <si>
    <t>図11-1-5</t>
    <rPh sb="0" eb="1">
      <t>ズ</t>
    </rPh>
    <phoneticPr fontId="2"/>
  </si>
  <si>
    <t>図11-1-4</t>
    <rPh sb="0" eb="1">
      <t>ズ</t>
    </rPh>
    <phoneticPr fontId="2"/>
  </si>
  <si>
    <t>重点的に進めるべきだと思う分野</t>
    <rPh sb="0" eb="3">
      <t>ジュウテンテキ</t>
    </rPh>
    <rPh sb="4" eb="5">
      <t>スス</t>
    </rPh>
    <rPh sb="11" eb="12">
      <t>オモ</t>
    </rPh>
    <rPh sb="13" eb="15">
      <t>ブンヤ</t>
    </rPh>
    <phoneticPr fontId="2"/>
  </si>
  <si>
    <t>図11-1-3</t>
    <rPh sb="0" eb="1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</si>
</sst>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);[Red]\(0.0\)"/>
    <numFmt numFmtId="177" formatCode="#,##0_);[Red]\(#,##0\)"/>
    <numFmt numFmtId="178" formatCode="#,##0.0_ ;[Red]\-#,##0.0\ "/>
    <numFmt numFmtId="179" formatCode="0.0_ "/>
    <numFmt numFmtId="180" formatCode="0.0_ ;[Red]\-0.0\ "/>
    <numFmt numFmtId="181" formatCode="0_);[Red]\(0\)"/>
    <numFmt numFmtId="182" formatCode="#,##0_ ;[Red]\-#,##0\ "/>
    <numFmt numFmtId="183" formatCode="#,##0.0_);[Red]\(#,##0.0\)"/>
    <numFmt numFmtId="184" formatCode="0_ "/>
    <numFmt numFmtId="185" formatCode="#,##0_);\(#,##0\)"/>
    <numFmt numFmtId="186" formatCode="0_ ;[Red]\-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38" fontId="3" fillId="0" borderId="0" xfId="1" applyFont="1">
      <alignment vertical="center"/>
    </xf>
    <xf numFmtId="0" fontId="0" fillId="0" borderId="0" xfId="0" applyAlignment="1">
      <alignment horizontal="left" vertical="center"/>
    </xf>
    <xf numFmtId="38" fontId="3" fillId="3" borderId="0" xfId="1" applyFont="1" applyFill="1">
      <alignment vertical="center"/>
    </xf>
    <xf numFmtId="176" fontId="3" fillId="0" borderId="0" xfId="1" applyNumberFormat="1" applyFont="1" applyBorder="1">
      <alignment vertical="center"/>
    </xf>
    <xf numFmtId="38" fontId="4" fillId="0" borderId="0" xfId="1" applyFont="1">
      <alignment vertical="center"/>
    </xf>
    <xf numFmtId="38" fontId="3" fillId="5" borderId="0" xfId="1" applyFont="1" applyFill="1" applyAlignment="1">
      <alignment horizontal="left" vertical="center"/>
    </xf>
    <xf numFmtId="0" fontId="0" fillId="0" borderId="0" xfId="0" applyFill="1">
      <alignment vertical="center"/>
    </xf>
    <xf numFmtId="38" fontId="1" fillId="0" borderId="0" xfId="1">
      <alignment vertical="center"/>
    </xf>
    <xf numFmtId="38" fontId="1" fillId="0" borderId="0" xfId="1" applyFont="1">
      <alignment vertical="center"/>
    </xf>
    <xf numFmtId="38" fontId="3" fillId="6" borderId="0" xfId="1" applyFont="1" applyFill="1">
      <alignment vertical="center"/>
    </xf>
    <xf numFmtId="0" fontId="4" fillId="6" borderId="4" xfId="0" applyFont="1" applyFill="1" applyBorder="1">
      <alignment vertical="center"/>
    </xf>
    <xf numFmtId="38" fontId="3" fillId="6" borderId="28" xfId="1" applyFont="1" applyFill="1" applyBorder="1">
      <alignment vertical="center"/>
    </xf>
    <xf numFmtId="38" fontId="3" fillId="6" borderId="28" xfId="1" applyFont="1" applyFill="1" applyBorder="1" applyAlignment="1">
      <alignment vertical="center" wrapText="1"/>
    </xf>
    <xf numFmtId="38" fontId="3" fillId="2" borderId="4" xfId="1" applyFont="1" applyFill="1" applyBorder="1" applyAlignment="1">
      <alignment vertical="center" wrapText="1"/>
    </xf>
    <xf numFmtId="38" fontId="3" fillId="2" borderId="1" xfId="1" applyFont="1" applyFill="1" applyBorder="1" applyAlignment="1">
      <alignment vertical="center" wrapText="1"/>
    </xf>
    <xf numFmtId="38" fontId="3" fillId="2" borderId="2" xfId="1" applyFont="1" applyFill="1" applyBorder="1" applyAlignment="1">
      <alignment vertical="center" wrapText="1"/>
    </xf>
    <xf numFmtId="38" fontId="3" fillId="2" borderId="6" xfId="1" applyFont="1" applyFill="1" applyBorder="1" applyAlignment="1">
      <alignment vertical="center" wrapText="1"/>
    </xf>
    <xf numFmtId="38" fontId="3" fillId="2" borderId="3" xfId="1" applyFont="1" applyFill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176" fontId="3" fillId="0" borderId="8" xfId="1" applyNumberFormat="1" applyFont="1" applyFill="1" applyBorder="1">
      <alignment vertical="center"/>
    </xf>
    <xf numFmtId="0" fontId="8" fillId="0" borderId="0" xfId="0" applyFont="1" applyAlignment="1">
      <alignment horizontal="center" vertical="center" wrapText="1"/>
    </xf>
    <xf numFmtId="176" fontId="3" fillId="0" borderId="0" xfId="1" applyNumberFormat="1" applyFont="1" applyFill="1" applyBorder="1">
      <alignment vertical="center"/>
    </xf>
    <xf numFmtId="38" fontId="10" fillId="0" borderId="0" xfId="1" applyFont="1" applyAlignment="1">
      <alignment horizontal="center" vertical="center"/>
    </xf>
    <xf numFmtId="176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38" fontId="1" fillId="0" borderId="0" xfId="1" applyFont="1" applyFill="1" applyAlignment="1">
      <alignment horizontal="center" vertical="center"/>
    </xf>
    <xf numFmtId="0" fontId="3" fillId="0" borderId="0" xfId="1" applyNumberFormat="1" applyFont="1" applyBorder="1">
      <alignment vertical="center"/>
    </xf>
    <xf numFmtId="177" fontId="3" fillId="0" borderId="12" xfId="1" applyNumberFormat="1" applyFont="1" applyFill="1" applyBorder="1">
      <alignment vertical="center"/>
    </xf>
    <xf numFmtId="177" fontId="3" fillId="0" borderId="13" xfId="1" applyNumberFormat="1" applyFont="1" applyFill="1" applyBorder="1">
      <alignment vertical="center"/>
    </xf>
    <xf numFmtId="177" fontId="3" fillId="0" borderId="14" xfId="1" applyNumberFormat="1" applyFont="1" applyFill="1" applyBorder="1">
      <alignment vertical="center"/>
    </xf>
    <xf numFmtId="177" fontId="3" fillId="0" borderId="21" xfId="1" applyNumberFormat="1" applyFont="1" applyFill="1" applyBorder="1">
      <alignment vertical="center"/>
    </xf>
    <xf numFmtId="177" fontId="3" fillId="0" borderId="16" xfId="1" applyNumberFormat="1" applyFont="1" applyFill="1" applyBorder="1">
      <alignment vertical="center"/>
    </xf>
    <xf numFmtId="177" fontId="3" fillId="0" borderId="17" xfId="1" applyNumberFormat="1" applyFont="1" applyFill="1" applyBorder="1">
      <alignment vertical="center"/>
    </xf>
    <xf numFmtId="177" fontId="3" fillId="0" borderId="7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38" fontId="11" fillId="0" borderId="0" xfId="1" applyFont="1">
      <alignment vertical="center"/>
    </xf>
    <xf numFmtId="38" fontId="3" fillId="7" borderId="4" xfId="1" applyFont="1" applyFill="1" applyBorder="1" applyAlignment="1">
      <alignment vertical="center" wrapText="1"/>
    </xf>
    <xf numFmtId="38" fontId="3" fillId="7" borderId="1" xfId="1" applyFont="1" applyFill="1" applyBorder="1" applyAlignment="1">
      <alignment vertical="center" wrapText="1"/>
    </xf>
    <xf numFmtId="38" fontId="3" fillId="7" borderId="2" xfId="1" applyFont="1" applyFill="1" applyBorder="1" applyAlignment="1">
      <alignment vertical="center" wrapText="1"/>
    </xf>
    <xf numFmtId="38" fontId="3" fillId="7" borderId="6" xfId="1" applyFont="1" applyFill="1" applyBorder="1" applyAlignment="1">
      <alignment vertical="center" wrapText="1"/>
    </xf>
    <xf numFmtId="38" fontId="3" fillId="7" borderId="3" xfId="1" applyFont="1" applyFill="1" applyBorder="1" applyAlignment="1">
      <alignment vertical="center" wrapText="1"/>
    </xf>
    <xf numFmtId="38" fontId="3" fillId="4" borderId="5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38" fontId="13" fillId="0" borderId="0" xfId="1" applyFont="1" applyFill="1">
      <alignment vertical="center"/>
    </xf>
    <xf numFmtId="180" fontId="4" fillId="0" borderId="0" xfId="0" applyNumberFormat="1" applyFont="1" applyAlignment="1">
      <alignment vertical="center"/>
    </xf>
    <xf numFmtId="180" fontId="0" fillId="0" borderId="0" xfId="0" applyNumberFormat="1">
      <alignment vertical="center"/>
    </xf>
    <xf numFmtId="180" fontId="4" fillId="0" borderId="0" xfId="0" applyNumberFormat="1" applyFont="1" applyAlignment="1">
      <alignment horizontal="center" vertical="center"/>
    </xf>
    <xf numFmtId="0" fontId="4" fillId="9" borderId="2" xfId="0" applyFont="1" applyFill="1" applyBorder="1" applyAlignment="1">
      <alignment horizontal="right" vertical="center"/>
    </xf>
    <xf numFmtId="0" fontId="4" fillId="9" borderId="6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horizontal="right" vertical="center"/>
    </xf>
    <xf numFmtId="0" fontId="4" fillId="9" borderId="28" xfId="0" applyFont="1" applyFill="1" applyBorder="1" applyAlignment="1">
      <alignment horizontal="right" vertical="center"/>
    </xf>
    <xf numFmtId="0" fontId="4" fillId="9" borderId="30" xfId="0" applyFont="1" applyFill="1" applyBorder="1">
      <alignment vertical="center"/>
    </xf>
    <xf numFmtId="0" fontId="4" fillId="9" borderId="31" xfId="0" applyFont="1" applyFill="1" applyBorder="1">
      <alignment vertical="center"/>
    </xf>
    <xf numFmtId="0" fontId="4" fillId="9" borderId="25" xfId="0" applyFont="1" applyFill="1" applyBorder="1">
      <alignment vertical="center"/>
    </xf>
    <xf numFmtId="38" fontId="3" fillId="9" borderId="4" xfId="1" applyFont="1" applyFill="1" applyBorder="1" applyAlignment="1">
      <alignment vertical="center" wrapText="1"/>
    </xf>
    <xf numFmtId="38" fontId="3" fillId="9" borderId="1" xfId="1" applyFont="1" applyFill="1" applyBorder="1" applyAlignment="1">
      <alignment vertical="center" wrapText="1"/>
    </xf>
    <xf numFmtId="38" fontId="3" fillId="9" borderId="2" xfId="1" applyFont="1" applyFill="1" applyBorder="1" applyAlignment="1">
      <alignment vertical="center" wrapText="1"/>
    </xf>
    <xf numFmtId="38" fontId="3" fillId="9" borderId="6" xfId="1" applyFont="1" applyFill="1" applyBorder="1" applyAlignment="1">
      <alignment vertical="center" wrapText="1"/>
    </xf>
    <xf numFmtId="38" fontId="3" fillId="9" borderId="3" xfId="1" applyFont="1" applyFill="1" applyBorder="1" applyAlignment="1">
      <alignment vertical="center" wrapText="1"/>
    </xf>
    <xf numFmtId="179" fontId="4" fillId="10" borderId="7" xfId="0" applyNumberFormat="1" applyFont="1" applyFill="1" applyBorder="1">
      <alignment vertical="center"/>
    </xf>
    <xf numFmtId="179" fontId="4" fillId="10" borderId="33" xfId="0" applyNumberFormat="1" applyFont="1" applyFill="1" applyBorder="1">
      <alignment vertical="center"/>
    </xf>
    <xf numFmtId="179" fontId="4" fillId="10" borderId="5" xfId="0" applyNumberFormat="1" applyFont="1" applyFill="1" applyBorder="1">
      <alignment vertical="center"/>
    </xf>
    <xf numFmtId="3" fontId="3" fillId="9" borderId="28" xfId="1" applyNumberFormat="1" applyFont="1" applyFill="1" applyBorder="1" applyAlignment="1">
      <alignment vertical="top" wrapText="1"/>
    </xf>
    <xf numFmtId="3" fontId="3" fillId="9" borderId="7" xfId="1" applyNumberFormat="1" applyFont="1" applyFill="1" applyBorder="1" applyAlignment="1">
      <alignment vertical="top" wrapText="1"/>
    </xf>
    <xf numFmtId="3" fontId="3" fillId="9" borderId="5" xfId="1" applyNumberFormat="1" applyFont="1" applyFill="1" applyBorder="1" applyAlignment="1">
      <alignment vertical="top" wrapText="1"/>
    </xf>
    <xf numFmtId="176" fontId="3" fillId="10" borderId="1" xfId="1" applyNumberFormat="1" applyFont="1" applyFill="1" applyBorder="1">
      <alignment vertical="center"/>
    </xf>
    <xf numFmtId="176" fontId="3" fillId="10" borderId="2" xfId="1" applyNumberFormat="1" applyFont="1" applyFill="1" applyBorder="1">
      <alignment vertical="center"/>
    </xf>
    <xf numFmtId="176" fontId="3" fillId="10" borderId="6" xfId="1" applyNumberFormat="1" applyFont="1" applyFill="1" applyBorder="1">
      <alignment vertical="center"/>
    </xf>
    <xf numFmtId="176" fontId="3" fillId="10" borderId="3" xfId="1" applyNumberFormat="1" applyFont="1" applyFill="1" applyBorder="1">
      <alignment vertical="center"/>
    </xf>
    <xf numFmtId="176" fontId="3" fillId="10" borderId="12" xfId="1" applyNumberFormat="1" applyFont="1" applyFill="1" applyBorder="1">
      <alignment vertical="center"/>
    </xf>
    <xf numFmtId="176" fontId="3" fillId="10" borderId="13" xfId="1" applyNumberFormat="1" applyFont="1" applyFill="1" applyBorder="1">
      <alignment vertical="center"/>
    </xf>
    <xf numFmtId="176" fontId="3" fillId="10" borderId="15" xfId="1" applyNumberFormat="1" applyFont="1" applyFill="1" applyBorder="1">
      <alignment vertical="center"/>
    </xf>
    <xf numFmtId="176" fontId="3" fillId="10" borderId="14" xfId="1" applyNumberFormat="1" applyFont="1" applyFill="1" applyBorder="1">
      <alignment vertical="center"/>
    </xf>
    <xf numFmtId="176" fontId="3" fillId="10" borderId="8" xfId="1" applyNumberFormat="1" applyFont="1" applyFill="1" applyBorder="1">
      <alignment vertical="center"/>
    </xf>
    <xf numFmtId="176" fontId="3" fillId="10" borderId="9" xfId="1" applyNumberFormat="1" applyFont="1" applyFill="1" applyBorder="1">
      <alignment vertical="center"/>
    </xf>
    <xf numFmtId="176" fontId="3" fillId="10" borderId="11" xfId="1" applyNumberFormat="1" applyFont="1" applyFill="1" applyBorder="1">
      <alignment vertical="center"/>
    </xf>
    <xf numFmtId="176" fontId="3" fillId="10" borderId="10" xfId="1" applyNumberFormat="1" applyFont="1" applyFill="1" applyBorder="1">
      <alignment vertical="center"/>
    </xf>
    <xf numFmtId="3" fontId="3" fillId="9" borderId="29" xfId="1" applyNumberFormat="1" applyFont="1" applyFill="1" applyBorder="1" applyAlignment="1">
      <alignment vertical="top" wrapText="1"/>
    </xf>
    <xf numFmtId="3" fontId="3" fillId="9" borderId="33" xfId="1" applyNumberFormat="1" applyFont="1" applyFill="1" applyBorder="1" applyAlignment="1">
      <alignment vertical="top" wrapText="1"/>
    </xf>
    <xf numFmtId="176" fontId="3" fillId="10" borderId="21" xfId="1" applyNumberFormat="1" applyFont="1" applyFill="1" applyBorder="1">
      <alignment vertical="center"/>
    </xf>
    <xf numFmtId="176" fontId="3" fillId="10" borderId="16" xfId="1" applyNumberFormat="1" applyFont="1" applyFill="1" applyBorder="1">
      <alignment vertical="center"/>
    </xf>
    <xf numFmtId="176" fontId="3" fillId="10" borderId="20" xfId="1" applyNumberFormat="1" applyFont="1" applyFill="1" applyBorder="1">
      <alignment vertical="center"/>
    </xf>
    <xf numFmtId="176" fontId="3" fillId="10" borderId="17" xfId="1" applyNumberFormat="1" applyFont="1" applyFill="1" applyBorder="1">
      <alignment vertical="center"/>
    </xf>
    <xf numFmtId="176" fontId="3" fillId="10" borderId="27" xfId="1" applyNumberFormat="1" applyFont="1" applyFill="1" applyBorder="1">
      <alignment vertical="center"/>
    </xf>
    <xf numFmtId="176" fontId="3" fillId="10" borderId="18" xfId="1" applyNumberFormat="1" applyFont="1" applyFill="1" applyBorder="1">
      <alignment vertical="center"/>
    </xf>
    <xf numFmtId="176" fontId="3" fillId="10" borderId="34" xfId="1" applyNumberFormat="1" applyFont="1" applyFill="1" applyBorder="1">
      <alignment vertical="center"/>
    </xf>
    <xf numFmtId="176" fontId="3" fillId="10" borderId="19" xfId="1" applyNumberFormat="1" applyFont="1" applyFill="1" applyBorder="1">
      <alignment vertical="center"/>
    </xf>
    <xf numFmtId="38" fontId="0" fillId="0" borderId="0" xfId="1" applyFont="1">
      <alignment vertical="center"/>
    </xf>
    <xf numFmtId="38" fontId="3" fillId="9" borderId="29" xfId="1" applyFont="1" applyFill="1" applyBorder="1" applyAlignment="1">
      <alignment vertical="top" wrapText="1"/>
    </xf>
    <xf numFmtId="38" fontId="3" fillId="9" borderId="5" xfId="1" applyFont="1" applyFill="1" applyBorder="1" applyAlignment="1">
      <alignment vertical="top" wrapText="1"/>
    </xf>
    <xf numFmtId="38" fontId="3" fillId="9" borderId="33" xfId="1" applyFont="1" applyFill="1" applyBorder="1" applyAlignment="1">
      <alignment vertical="top" wrapText="1"/>
    </xf>
    <xf numFmtId="38" fontId="3" fillId="9" borderId="42" xfId="1" applyFont="1" applyFill="1" applyBorder="1" applyAlignment="1">
      <alignment vertical="top" wrapText="1"/>
    </xf>
    <xf numFmtId="176" fontId="3" fillId="10" borderId="43" xfId="1" applyNumberFormat="1" applyFont="1" applyFill="1" applyBorder="1">
      <alignment vertical="center"/>
    </xf>
    <xf numFmtId="176" fontId="3" fillId="10" borderId="44" xfId="1" applyNumberFormat="1" applyFont="1" applyFill="1" applyBorder="1">
      <alignment vertical="center"/>
    </xf>
    <xf numFmtId="176" fontId="3" fillId="10" borderId="46" xfId="1" applyNumberFormat="1" applyFont="1" applyFill="1" applyBorder="1">
      <alignment vertical="center"/>
    </xf>
    <xf numFmtId="38" fontId="3" fillId="9" borderId="2" xfId="1" applyFont="1" applyFill="1" applyBorder="1" applyAlignment="1">
      <alignment vertical="top" wrapText="1"/>
    </xf>
    <xf numFmtId="38" fontId="3" fillId="9" borderId="6" xfId="1" applyFont="1" applyFill="1" applyBorder="1" applyAlignment="1">
      <alignment vertical="top" wrapText="1"/>
    </xf>
    <xf numFmtId="38" fontId="3" fillId="9" borderId="3" xfId="1" applyFont="1" applyFill="1" applyBorder="1" applyAlignment="1">
      <alignment vertical="top" wrapText="1"/>
    </xf>
    <xf numFmtId="38" fontId="3" fillId="0" borderId="51" xfId="1" applyFont="1" applyFill="1" applyBorder="1" applyAlignment="1">
      <alignment vertical="center" wrapText="1"/>
    </xf>
    <xf numFmtId="177" fontId="4" fillId="0" borderId="0" xfId="0" applyNumberFormat="1" applyFont="1">
      <alignment vertical="center"/>
    </xf>
    <xf numFmtId="38" fontId="3" fillId="9" borderId="22" xfId="1" applyFont="1" applyFill="1" applyBorder="1" applyAlignment="1">
      <alignment vertical="center" wrapText="1"/>
    </xf>
    <xf numFmtId="38" fontId="3" fillId="9" borderId="38" xfId="1" applyFont="1" applyFill="1" applyBorder="1" applyAlignment="1">
      <alignment vertical="center" wrapText="1"/>
    </xf>
    <xf numFmtId="176" fontId="3" fillId="10" borderId="40" xfId="1" applyNumberFormat="1" applyFont="1" applyFill="1" applyBorder="1">
      <alignment vertical="center"/>
    </xf>
    <xf numFmtId="176" fontId="3" fillId="10" borderId="41" xfId="1" applyNumberFormat="1" applyFont="1" applyFill="1" applyBorder="1">
      <alignment vertical="center"/>
    </xf>
    <xf numFmtId="176" fontId="3" fillId="10" borderId="47" xfId="1" applyNumberFormat="1" applyFont="1" applyFill="1" applyBorder="1">
      <alignment vertical="center"/>
    </xf>
    <xf numFmtId="176" fontId="3" fillId="10" borderId="45" xfId="1" applyNumberFormat="1" applyFont="1" applyFill="1" applyBorder="1">
      <alignment vertical="center"/>
    </xf>
    <xf numFmtId="176" fontId="3" fillId="10" borderId="48" xfId="1" applyNumberFormat="1" applyFont="1" applyFill="1" applyBorder="1">
      <alignment vertical="center"/>
    </xf>
    <xf numFmtId="38" fontId="3" fillId="9" borderId="29" xfId="1" applyFont="1" applyFill="1" applyBorder="1">
      <alignment vertical="center"/>
    </xf>
    <xf numFmtId="177" fontId="3" fillId="11" borderId="7" xfId="1" applyNumberFormat="1" applyFont="1" applyFill="1" applyBorder="1">
      <alignment vertical="center"/>
    </xf>
    <xf numFmtId="176" fontId="3" fillId="11" borderId="5" xfId="1" applyNumberFormat="1" applyFont="1" applyFill="1" applyBorder="1">
      <alignment vertical="center"/>
    </xf>
    <xf numFmtId="179" fontId="4" fillId="11" borderId="13" xfId="0" applyNumberFormat="1" applyFont="1" applyFill="1" applyBorder="1">
      <alignment vertical="center"/>
    </xf>
    <xf numFmtId="179" fontId="4" fillId="11" borderId="15" xfId="0" applyNumberFormat="1" applyFont="1" applyFill="1" applyBorder="1">
      <alignment vertical="center"/>
    </xf>
    <xf numFmtId="179" fontId="4" fillId="11" borderId="18" xfId="0" applyNumberFormat="1" applyFont="1" applyFill="1" applyBorder="1">
      <alignment vertical="center"/>
    </xf>
    <xf numFmtId="179" fontId="4" fillId="11" borderId="34" xfId="0" applyNumberFormat="1" applyFont="1" applyFill="1" applyBorder="1">
      <alignment vertical="center"/>
    </xf>
    <xf numFmtId="179" fontId="4" fillId="11" borderId="9" xfId="0" applyNumberFormat="1" applyFont="1" applyFill="1" applyBorder="1">
      <alignment vertical="center"/>
    </xf>
    <xf numFmtId="179" fontId="4" fillId="11" borderId="11" xfId="0" applyNumberFormat="1" applyFont="1" applyFill="1" applyBorder="1">
      <alignment vertical="center"/>
    </xf>
    <xf numFmtId="177" fontId="3" fillId="11" borderId="12" xfId="1" applyNumberFormat="1" applyFont="1" applyFill="1" applyBorder="1">
      <alignment vertical="center"/>
    </xf>
    <xf numFmtId="177" fontId="3" fillId="11" borderId="13" xfId="1" applyNumberFormat="1" applyFont="1" applyFill="1" applyBorder="1">
      <alignment vertical="center"/>
    </xf>
    <xf numFmtId="177" fontId="3" fillId="11" borderId="15" xfId="1" applyNumberFormat="1" applyFont="1" applyFill="1" applyBorder="1">
      <alignment vertical="center"/>
    </xf>
    <xf numFmtId="177" fontId="3" fillId="11" borderId="14" xfId="1" applyNumberFormat="1" applyFont="1" applyFill="1" applyBorder="1">
      <alignment vertical="center"/>
    </xf>
    <xf numFmtId="176" fontId="3" fillId="11" borderId="8" xfId="1" applyNumberFormat="1" applyFont="1" applyFill="1" applyBorder="1">
      <alignment vertical="center"/>
    </xf>
    <xf numFmtId="176" fontId="3" fillId="11" borderId="9" xfId="1" applyNumberFormat="1" applyFont="1" applyFill="1" applyBorder="1">
      <alignment vertical="center"/>
    </xf>
    <xf numFmtId="176" fontId="3" fillId="11" borderId="11" xfId="1" applyNumberFormat="1" applyFont="1" applyFill="1" applyBorder="1">
      <alignment vertical="center"/>
    </xf>
    <xf numFmtId="176" fontId="3" fillId="11" borderId="10" xfId="1" applyNumberFormat="1" applyFont="1" applyFill="1" applyBorder="1">
      <alignment vertical="center"/>
    </xf>
    <xf numFmtId="177" fontId="3" fillId="11" borderId="21" xfId="1" applyNumberFormat="1" applyFont="1" applyFill="1" applyBorder="1">
      <alignment vertical="center"/>
    </xf>
    <xf numFmtId="177" fontId="3" fillId="11" borderId="16" xfId="1" applyNumberFormat="1" applyFont="1" applyFill="1" applyBorder="1">
      <alignment vertical="center"/>
    </xf>
    <xf numFmtId="177" fontId="3" fillId="11" borderId="17" xfId="1" applyNumberFormat="1" applyFont="1" applyFill="1" applyBorder="1">
      <alignment vertical="center"/>
    </xf>
    <xf numFmtId="0" fontId="4" fillId="9" borderId="22" xfId="0" applyFont="1" applyFill="1" applyBorder="1" applyAlignment="1">
      <alignment horizontal="right" vertical="center"/>
    </xf>
    <xf numFmtId="0" fontId="4" fillId="6" borderId="28" xfId="0" applyFont="1" applyFill="1" applyBorder="1">
      <alignment vertical="center"/>
    </xf>
    <xf numFmtId="0" fontId="4" fillId="9" borderId="29" xfId="0" applyFont="1" applyFill="1" applyBorder="1">
      <alignment vertical="center"/>
    </xf>
    <xf numFmtId="0" fontId="4" fillId="9" borderId="33" xfId="0" applyFont="1" applyFill="1" applyBorder="1">
      <alignment vertical="center"/>
    </xf>
    <xf numFmtId="0" fontId="4" fillId="9" borderId="5" xfId="0" applyFont="1" applyFill="1" applyBorder="1">
      <alignment vertical="center"/>
    </xf>
    <xf numFmtId="179" fontId="4" fillId="11" borderId="23" xfId="0" applyNumberFormat="1" applyFont="1" applyFill="1" applyBorder="1">
      <alignment vertical="center"/>
    </xf>
    <xf numFmtId="179" fontId="4" fillId="11" borderId="49" xfId="0" applyNumberFormat="1" applyFont="1" applyFill="1" applyBorder="1">
      <alignment vertical="center"/>
    </xf>
    <xf numFmtId="179" fontId="4" fillId="11" borderId="24" xfId="0" applyNumberFormat="1" applyFont="1" applyFill="1" applyBorder="1">
      <alignment vertical="center"/>
    </xf>
    <xf numFmtId="177" fontId="3" fillId="11" borderId="20" xfId="1" applyNumberFormat="1" applyFont="1" applyFill="1" applyBorder="1">
      <alignment vertical="center"/>
    </xf>
    <xf numFmtId="177" fontId="3" fillId="11" borderId="26" xfId="1" applyNumberFormat="1" applyFont="1" applyFill="1" applyBorder="1">
      <alignment vertical="center"/>
    </xf>
    <xf numFmtId="176" fontId="3" fillId="11" borderId="24" xfId="1" applyNumberFormat="1" applyFont="1" applyFill="1" applyBorder="1">
      <alignment vertical="center"/>
    </xf>
    <xf numFmtId="181" fontId="3" fillId="11" borderId="29" xfId="1" applyNumberFormat="1" applyFont="1" applyFill="1" applyBorder="1">
      <alignment vertical="center"/>
    </xf>
    <xf numFmtId="181" fontId="3" fillId="11" borderId="21" xfId="1" applyNumberFormat="1" applyFont="1" applyFill="1" applyBorder="1">
      <alignment vertical="center"/>
    </xf>
    <xf numFmtId="181" fontId="3" fillId="11" borderId="16" xfId="1" applyNumberFormat="1" applyFont="1" applyFill="1" applyBorder="1">
      <alignment vertical="center"/>
    </xf>
    <xf numFmtId="181" fontId="3" fillId="11" borderId="20" xfId="1" applyNumberFormat="1" applyFont="1" applyFill="1" applyBorder="1">
      <alignment vertical="center"/>
    </xf>
    <xf numFmtId="181" fontId="3" fillId="11" borderId="17" xfId="1" applyNumberFormat="1" applyFont="1" applyFill="1" applyBorder="1">
      <alignment vertical="center"/>
    </xf>
    <xf numFmtId="178" fontId="3" fillId="11" borderId="5" xfId="1" applyNumberFormat="1" applyFont="1" applyFill="1" applyBorder="1">
      <alignment vertical="center"/>
    </xf>
    <xf numFmtId="178" fontId="3" fillId="11" borderId="8" xfId="1" applyNumberFormat="1" applyFont="1" applyFill="1" applyBorder="1">
      <alignment vertical="center"/>
    </xf>
    <xf numFmtId="178" fontId="3" fillId="11" borderId="9" xfId="1" applyNumberFormat="1" applyFont="1" applyFill="1" applyBorder="1">
      <alignment vertical="center"/>
    </xf>
    <xf numFmtId="178" fontId="3" fillId="11" borderId="11" xfId="1" applyNumberFormat="1" applyFont="1" applyFill="1" applyBorder="1">
      <alignment vertical="center"/>
    </xf>
    <xf numFmtId="178" fontId="3" fillId="11" borderId="10" xfId="1" applyNumberFormat="1" applyFont="1" applyFill="1" applyBorder="1">
      <alignment vertical="center"/>
    </xf>
    <xf numFmtId="182" fontId="3" fillId="11" borderId="29" xfId="1" applyNumberFormat="1" applyFont="1" applyFill="1" applyBorder="1">
      <alignment vertical="center"/>
    </xf>
    <xf numFmtId="177" fontId="3" fillId="11" borderId="23" xfId="1" applyNumberFormat="1" applyFont="1" applyFill="1" applyBorder="1">
      <alignment vertical="center"/>
    </xf>
    <xf numFmtId="38" fontId="3" fillId="9" borderId="5" xfId="1" applyFont="1" applyFill="1" applyBorder="1">
      <alignment vertical="center"/>
    </xf>
    <xf numFmtId="38" fontId="3" fillId="9" borderId="52" xfId="1" applyFont="1" applyFill="1" applyBorder="1" applyAlignment="1">
      <alignment vertical="center" wrapText="1"/>
    </xf>
    <xf numFmtId="176" fontId="3" fillId="10" borderId="26" xfId="1" applyNumberFormat="1" applyFont="1" applyFill="1" applyBorder="1">
      <alignment vertical="center"/>
    </xf>
    <xf numFmtId="176" fontId="3" fillId="10" borderId="49" xfId="1" applyNumberFormat="1" applyFont="1" applyFill="1" applyBorder="1">
      <alignment vertical="center"/>
    </xf>
    <xf numFmtId="176" fontId="3" fillId="10" borderId="50" xfId="1" applyNumberFormat="1" applyFont="1" applyFill="1" applyBorder="1">
      <alignment vertical="center"/>
    </xf>
    <xf numFmtId="176" fontId="3" fillId="10" borderId="24" xfId="1" applyNumberFormat="1" applyFont="1" applyFill="1" applyBorder="1">
      <alignment vertical="center"/>
    </xf>
    <xf numFmtId="176" fontId="3" fillId="10" borderId="54" xfId="1" applyNumberFormat="1" applyFont="1" applyFill="1" applyBorder="1">
      <alignment vertical="center"/>
    </xf>
    <xf numFmtId="176" fontId="3" fillId="10" borderId="55" xfId="1" applyNumberFormat="1" applyFont="1" applyFill="1" applyBorder="1">
      <alignment vertical="center"/>
    </xf>
    <xf numFmtId="176" fontId="3" fillId="10" borderId="56" xfId="1" applyNumberFormat="1" applyFont="1" applyFill="1" applyBorder="1">
      <alignment vertical="center"/>
    </xf>
    <xf numFmtId="176" fontId="3" fillId="10" borderId="53" xfId="1" applyNumberFormat="1" applyFont="1" applyFill="1" applyBorder="1">
      <alignment vertical="center"/>
    </xf>
    <xf numFmtId="176" fontId="3" fillId="10" borderId="23" xfId="1" applyNumberFormat="1" applyFont="1" applyFill="1" applyBorder="1">
      <alignment vertical="center"/>
    </xf>
    <xf numFmtId="177" fontId="0" fillId="0" borderId="0" xfId="0" applyNumberFormat="1">
      <alignment vertical="center"/>
    </xf>
    <xf numFmtId="38" fontId="3" fillId="0" borderId="51" xfId="1" applyFont="1" applyFill="1" applyBorder="1" applyAlignment="1">
      <alignment horizontal="center" vertical="center" wrapText="1"/>
    </xf>
    <xf numFmtId="181" fontId="3" fillId="0" borderId="32" xfId="1" applyNumberFormat="1" applyFont="1" applyFill="1" applyBorder="1">
      <alignment vertical="center"/>
    </xf>
    <xf numFmtId="3" fontId="3" fillId="0" borderId="0" xfId="1" applyNumberFormat="1" applyFont="1" applyFill="1" applyBorder="1" applyAlignment="1">
      <alignment horizontal="left" vertical="center" wrapText="1"/>
    </xf>
    <xf numFmtId="177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0" fillId="0" borderId="0" xfId="1" applyNumberFormat="1" applyFont="1">
      <alignment vertical="center"/>
    </xf>
    <xf numFmtId="38" fontId="3" fillId="9" borderId="7" xfId="1" applyFont="1" applyFill="1" applyBorder="1" applyAlignment="1">
      <alignment vertical="top" wrapText="1"/>
    </xf>
    <xf numFmtId="176" fontId="3" fillId="10" borderId="39" xfId="1" applyNumberFormat="1" applyFont="1" applyFill="1" applyBorder="1">
      <alignment vertical="center"/>
    </xf>
    <xf numFmtId="176" fontId="3" fillId="10" borderId="57" xfId="1" applyNumberFormat="1" applyFont="1" applyFill="1" applyBorder="1">
      <alignment vertical="center"/>
    </xf>
    <xf numFmtId="3" fontId="3" fillId="9" borderId="35" xfId="1" applyNumberFormat="1" applyFont="1" applyFill="1" applyBorder="1" applyAlignment="1">
      <alignment vertical="top" wrapText="1"/>
    </xf>
    <xf numFmtId="176" fontId="3" fillId="10" borderId="58" xfId="1" applyNumberFormat="1" applyFont="1" applyFill="1" applyBorder="1">
      <alignment vertical="center"/>
    </xf>
    <xf numFmtId="176" fontId="3" fillId="10" borderId="59" xfId="1" applyNumberFormat="1" applyFont="1" applyFill="1" applyBorder="1">
      <alignment vertical="center"/>
    </xf>
    <xf numFmtId="176" fontId="3" fillId="10" borderId="60" xfId="1" applyNumberFormat="1" applyFont="1" applyFill="1" applyBorder="1">
      <alignment vertical="center"/>
    </xf>
    <xf numFmtId="181" fontId="1" fillId="0" borderId="0" xfId="1" applyNumberFormat="1" applyFont="1" applyFill="1" applyAlignment="1">
      <alignment horizontal="center" vertical="center"/>
    </xf>
    <xf numFmtId="181" fontId="3" fillId="0" borderId="0" xfId="1" applyNumberFormat="1" applyFont="1" applyFill="1" applyBorder="1">
      <alignment vertical="center"/>
    </xf>
    <xf numFmtId="181" fontId="0" fillId="0" borderId="0" xfId="0" applyNumberFormat="1">
      <alignment vertical="center"/>
    </xf>
    <xf numFmtId="181" fontId="3" fillId="0" borderId="0" xfId="1" applyNumberFormat="1" applyFont="1" applyFill="1" applyBorder="1" applyAlignment="1">
      <alignment horizontal="left" vertical="center" wrapText="1"/>
    </xf>
    <xf numFmtId="181" fontId="4" fillId="0" borderId="0" xfId="0" applyNumberFormat="1" applyFont="1" applyFill="1">
      <alignment vertical="center"/>
    </xf>
    <xf numFmtId="181" fontId="0" fillId="0" borderId="0" xfId="0" applyNumberFormat="1" applyFill="1">
      <alignment vertical="center"/>
    </xf>
    <xf numFmtId="38" fontId="3" fillId="0" borderId="0" xfId="1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38" fontId="0" fillId="0" borderId="0" xfId="1" applyFont="1" applyFill="1">
      <alignment vertical="center"/>
    </xf>
    <xf numFmtId="179" fontId="4" fillId="10" borderId="14" xfId="0" applyNumberFormat="1" applyFont="1" applyFill="1" applyBorder="1">
      <alignment vertical="center"/>
    </xf>
    <xf numFmtId="179" fontId="4" fillId="10" borderId="19" xfId="0" applyNumberFormat="1" applyFont="1" applyFill="1" applyBorder="1">
      <alignment vertical="center"/>
    </xf>
    <xf numFmtId="179" fontId="4" fillId="10" borderId="10" xfId="0" applyNumberFormat="1" applyFont="1" applyFill="1" applyBorder="1">
      <alignment vertical="center"/>
    </xf>
    <xf numFmtId="176" fontId="3" fillId="0" borderId="5" xfId="1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Fill="1">
      <alignment vertical="center"/>
    </xf>
    <xf numFmtId="181" fontId="4" fillId="0" borderId="0" xfId="0" applyNumberFormat="1" applyFont="1">
      <alignment vertical="center"/>
    </xf>
    <xf numFmtId="184" fontId="3" fillId="11" borderId="29" xfId="1" applyNumberFormat="1" applyFont="1" applyFill="1" applyBorder="1">
      <alignment vertical="center"/>
    </xf>
    <xf numFmtId="183" fontId="3" fillId="11" borderId="5" xfId="1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7" fontId="3" fillId="0" borderId="51" xfId="1" applyNumberFormat="1" applyFont="1" applyFill="1" applyBorder="1">
      <alignment vertical="center"/>
    </xf>
    <xf numFmtId="38" fontId="3" fillId="0" borderId="0" xfId="1" applyFont="1" applyFill="1" applyBorder="1" applyAlignment="1">
      <alignment vertical="center" wrapText="1"/>
    </xf>
    <xf numFmtId="49" fontId="3" fillId="0" borderId="7" xfId="1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186" fontId="0" fillId="0" borderId="0" xfId="0" applyNumberFormat="1">
      <alignment vertical="center"/>
    </xf>
    <xf numFmtId="182" fontId="4" fillId="0" borderId="0" xfId="0" applyNumberFormat="1" applyFont="1">
      <alignment vertical="center"/>
    </xf>
    <xf numFmtId="176" fontId="3" fillId="0" borderId="9" xfId="1" applyNumberFormat="1" applyFont="1" applyFill="1" applyBorder="1">
      <alignment vertical="center"/>
    </xf>
    <xf numFmtId="176" fontId="3" fillId="0" borderId="10" xfId="1" applyNumberFormat="1" applyFont="1" applyFill="1" applyBorder="1">
      <alignment vertical="center"/>
    </xf>
    <xf numFmtId="0" fontId="15" fillId="0" borderId="0" xfId="0" applyFont="1" applyAlignment="1">
      <alignment horizontal="center" vertical="center" wrapText="1"/>
    </xf>
    <xf numFmtId="38" fontId="15" fillId="0" borderId="0" xfId="1" applyFont="1" applyAlignment="1">
      <alignment horizontal="center" vertical="center"/>
    </xf>
    <xf numFmtId="183" fontId="3" fillId="11" borderId="62" xfId="1" applyNumberFormat="1" applyFont="1" applyFill="1" applyBorder="1">
      <alignment vertical="center"/>
    </xf>
    <xf numFmtId="183" fontId="3" fillId="11" borderId="63" xfId="1" applyNumberFormat="1" applyFont="1" applyFill="1" applyBorder="1">
      <alignment vertical="center"/>
    </xf>
    <xf numFmtId="183" fontId="3" fillId="11" borderId="64" xfId="1" applyNumberFormat="1" applyFont="1" applyFill="1" applyBorder="1">
      <alignment vertical="center"/>
    </xf>
    <xf numFmtId="183" fontId="3" fillId="11" borderId="65" xfId="1" applyNumberFormat="1" applyFont="1" applyFill="1" applyBorder="1">
      <alignment vertical="center"/>
    </xf>
    <xf numFmtId="183" fontId="3" fillId="11" borderId="66" xfId="1" applyNumberFormat="1" applyFont="1" applyFill="1" applyBorder="1">
      <alignment vertical="center"/>
    </xf>
    <xf numFmtId="183" fontId="3" fillId="11" borderId="67" xfId="1" applyNumberFormat="1" applyFont="1" applyFill="1" applyBorder="1">
      <alignment vertical="center"/>
    </xf>
    <xf numFmtId="183" fontId="3" fillId="11" borderId="61" xfId="1" applyNumberFormat="1" applyFont="1" applyFill="1" applyBorder="1">
      <alignment vertical="center"/>
    </xf>
    <xf numFmtId="177" fontId="3" fillId="11" borderId="29" xfId="1" applyNumberFormat="1" applyFont="1" applyFill="1" applyBorder="1">
      <alignment vertical="center"/>
    </xf>
    <xf numFmtId="183" fontId="3" fillId="11" borderId="36" xfId="1" applyNumberFormat="1" applyFont="1" applyFill="1" applyBorder="1">
      <alignment vertical="center"/>
    </xf>
    <xf numFmtId="38" fontId="3" fillId="7" borderId="22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horizontal="center" vertical="center" wrapText="1"/>
    </xf>
    <xf numFmtId="49" fontId="4" fillId="0" borderId="0" xfId="1" applyNumberFormat="1" applyFont="1">
      <alignment vertical="center"/>
    </xf>
    <xf numFmtId="49" fontId="3" fillId="0" borderId="7" xfId="1" applyNumberFormat="1" applyFont="1" applyFill="1" applyBorder="1" applyAlignment="1">
      <alignment horizontal="right" vertical="center"/>
    </xf>
    <xf numFmtId="177" fontId="3" fillId="11" borderId="7" xfId="1" applyNumberFormat="1" applyFont="1" applyFill="1" applyBorder="1" applyAlignment="1">
      <alignment horizontal="right" vertical="center"/>
    </xf>
    <xf numFmtId="38" fontId="18" fillId="0" borderId="0" xfId="1" applyFont="1">
      <alignment vertical="center"/>
    </xf>
    <xf numFmtId="181" fontId="18" fillId="0" borderId="0" xfId="0" applyNumberFormat="1" applyFont="1" applyFill="1">
      <alignment vertical="center"/>
    </xf>
    <xf numFmtId="177" fontId="3" fillId="0" borderId="7" xfId="1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80" fontId="0" fillId="0" borderId="0" xfId="0" applyNumberFormat="1" applyFont="1">
      <alignment vertical="center"/>
    </xf>
    <xf numFmtId="179" fontId="4" fillId="11" borderId="10" xfId="0" applyNumberFormat="1" applyFont="1" applyFill="1" applyBorder="1">
      <alignment vertical="center"/>
    </xf>
    <xf numFmtId="179" fontId="4" fillId="11" borderId="14" xfId="0" applyNumberFormat="1" applyFont="1" applyFill="1" applyBorder="1">
      <alignment vertical="center"/>
    </xf>
    <xf numFmtId="179" fontId="4" fillId="11" borderId="19" xfId="0" applyNumberFormat="1" applyFont="1" applyFill="1" applyBorder="1">
      <alignment vertical="center"/>
    </xf>
    <xf numFmtId="38" fontId="4" fillId="0" borderId="0" xfId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 wrapText="1"/>
    </xf>
    <xf numFmtId="0" fontId="4" fillId="0" borderId="0" xfId="0" applyFont="1" applyFill="1">
      <alignment vertical="center"/>
    </xf>
    <xf numFmtId="181" fontId="4" fillId="0" borderId="0" xfId="1" applyNumberFormat="1" applyFont="1">
      <alignment vertical="center"/>
    </xf>
    <xf numFmtId="176" fontId="3" fillId="10" borderId="68" xfId="1" applyNumberFormat="1" applyFont="1" applyFill="1" applyBorder="1">
      <alignment vertical="center"/>
    </xf>
    <xf numFmtId="176" fontId="3" fillId="10" borderId="69" xfId="1" applyNumberFormat="1" applyFont="1" applyFill="1" applyBorder="1">
      <alignment vertical="center"/>
    </xf>
    <xf numFmtId="176" fontId="3" fillId="10" borderId="70" xfId="1" applyNumberFormat="1" applyFont="1" applyFill="1" applyBorder="1">
      <alignment vertical="center"/>
    </xf>
    <xf numFmtId="38" fontId="3" fillId="9" borderId="71" xfId="1" applyFont="1" applyFill="1" applyBorder="1" applyAlignment="1">
      <alignment vertical="center" wrapText="1"/>
    </xf>
    <xf numFmtId="38" fontId="20" fillId="5" borderId="0" xfId="1" applyFont="1" applyFill="1" applyAlignment="1">
      <alignment horizontal="left" vertical="center"/>
    </xf>
    <xf numFmtId="38" fontId="19" fillId="0" borderId="0" xfId="1" applyFont="1" applyFill="1" applyAlignment="1">
      <alignment horizontal="center" vertical="center"/>
    </xf>
    <xf numFmtId="184" fontId="4" fillId="0" borderId="0" xfId="0" applyNumberFormat="1" applyFont="1">
      <alignment vertical="center"/>
    </xf>
    <xf numFmtId="184" fontId="3" fillId="0" borderId="0" xfId="1" applyNumberFormat="1" applyFont="1" applyFill="1" applyBorder="1">
      <alignment vertical="center"/>
    </xf>
    <xf numFmtId="176" fontId="3" fillId="0" borderId="9" xfId="3" applyNumberFormat="1" applyFont="1" applyFill="1" applyBorder="1">
      <alignment vertical="center"/>
    </xf>
    <xf numFmtId="176" fontId="3" fillId="0" borderId="8" xfId="3" applyNumberFormat="1" applyFont="1" applyFill="1" applyBorder="1">
      <alignment vertical="center"/>
    </xf>
    <xf numFmtId="177" fontId="3" fillId="0" borderId="16" xfId="3" applyNumberFormat="1" applyFont="1" applyFill="1" applyBorder="1">
      <alignment vertical="center"/>
    </xf>
    <xf numFmtId="177" fontId="3" fillId="0" borderId="21" xfId="3" applyNumberFormat="1" applyFont="1" applyFill="1" applyBorder="1">
      <alignment vertical="center"/>
    </xf>
    <xf numFmtId="177" fontId="3" fillId="0" borderId="13" xfId="3" applyNumberFormat="1" applyFont="1" applyFill="1" applyBorder="1">
      <alignment vertical="center"/>
    </xf>
    <xf numFmtId="177" fontId="3" fillId="0" borderId="12" xfId="3" applyNumberFormat="1" applyFont="1" applyFill="1" applyBorder="1">
      <alignment vertical="center"/>
    </xf>
    <xf numFmtId="181" fontId="0" fillId="0" borderId="0" xfId="1" applyNumberFormat="1" applyFont="1">
      <alignment vertical="center"/>
    </xf>
    <xf numFmtId="181" fontId="21" fillId="0" borderId="0" xfId="1" applyNumberFormat="1" applyFont="1" applyAlignment="1">
      <alignment horizontal="center" vertical="center"/>
    </xf>
    <xf numFmtId="181" fontId="3" fillId="0" borderId="65" xfId="1" applyNumberFormat="1" applyFont="1" applyFill="1" applyBorder="1">
      <alignment vertical="center"/>
    </xf>
    <xf numFmtId="177" fontId="3" fillId="0" borderId="64" xfId="1" applyNumberFormat="1" applyFont="1" applyFill="1" applyBorder="1">
      <alignment vertical="center"/>
    </xf>
    <xf numFmtId="177" fontId="3" fillId="0" borderId="62" xfId="1" applyNumberFormat="1" applyFont="1" applyFill="1" applyBorder="1">
      <alignment vertical="center"/>
    </xf>
    <xf numFmtId="38" fontId="3" fillId="0" borderId="17" xfId="1" applyNumberFormat="1" applyFont="1" applyFill="1" applyBorder="1">
      <alignment vertical="center"/>
    </xf>
    <xf numFmtId="38" fontId="3" fillId="4" borderId="35" xfId="1" applyFont="1" applyFill="1" applyBorder="1" applyAlignment="1">
      <alignment horizontal="left" vertical="center" wrapText="1"/>
    </xf>
    <xf numFmtId="38" fontId="3" fillId="4" borderId="36" xfId="1" applyFont="1" applyFill="1" applyBorder="1" applyAlignment="1">
      <alignment horizontal="left" vertical="center" wrapText="1"/>
    </xf>
    <xf numFmtId="38" fontId="9" fillId="0" borderId="32" xfId="1" applyFont="1" applyFill="1" applyBorder="1" applyAlignment="1">
      <alignment horizontal="center" vertical="center" wrapText="1"/>
    </xf>
    <xf numFmtId="38" fontId="9" fillId="0" borderId="37" xfId="1" applyFont="1" applyFill="1" applyBorder="1" applyAlignment="1">
      <alignment horizontal="center" vertical="center" wrapText="1"/>
    </xf>
    <xf numFmtId="38" fontId="6" fillId="4" borderId="35" xfId="1" applyFont="1" applyFill="1" applyBorder="1" applyAlignment="1">
      <alignment horizontal="left" vertical="center" wrapText="1"/>
    </xf>
    <xf numFmtId="38" fontId="6" fillId="4" borderId="36" xfId="1" applyFont="1" applyFill="1" applyBorder="1" applyAlignment="1">
      <alignment horizontal="left" vertical="center" wrapText="1"/>
    </xf>
    <xf numFmtId="38" fontId="7" fillId="9" borderId="35" xfId="1" applyFont="1" applyFill="1" applyBorder="1" applyAlignment="1">
      <alignment horizontal="left" vertical="center" wrapText="1"/>
    </xf>
    <xf numFmtId="38" fontId="7" fillId="9" borderId="36" xfId="1" applyFont="1" applyFill="1" applyBorder="1" applyAlignment="1">
      <alignment horizontal="left" vertical="center" wrapText="1"/>
    </xf>
    <xf numFmtId="38" fontId="7" fillId="4" borderId="35" xfId="1" applyFont="1" applyFill="1" applyBorder="1" applyAlignment="1">
      <alignment horizontal="left" vertical="center" wrapText="1"/>
    </xf>
    <xf numFmtId="38" fontId="7" fillId="4" borderId="36" xfId="1" applyFont="1" applyFill="1" applyBorder="1" applyAlignment="1">
      <alignment horizontal="left" vertical="center" wrapText="1"/>
    </xf>
    <xf numFmtId="38" fontId="3" fillId="9" borderId="35" xfId="1" applyFont="1" applyFill="1" applyBorder="1" applyAlignment="1">
      <alignment horizontal="left" vertical="center" wrapText="1"/>
    </xf>
    <xf numFmtId="38" fontId="3" fillId="9" borderId="36" xfId="1" applyFont="1" applyFill="1" applyBorder="1" applyAlignment="1">
      <alignment horizontal="left" vertical="center" wrapText="1"/>
    </xf>
    <xf numFmtId="38" fontId="6" fillId="9" borderId="35" xfId="1" applyFont="1" applyFill="1" applyBorder="1" applyAlignment="1">
      <alignment horizontal="left" vertical="center" wrapText="1"/>
    </xf>
    <xf numFmtId="38" fontId="6" fillId="9" borderId="36" xfId="1" applyFont="1" applyFill="1" applyBorder="1" applyAlignment="1">
      <alignment horizontal="left" vertical="center" wrapText="1"/>
    </xf>
    <xf numFmtId="3" fontId="3" fillId="4" borderId="35" xfId="1" applyNumberFormat="1" applyFont="1" applyFill="1" applyBorder="1" applyAlignment="1">
      <alignment horizontal="left" vertical="center" wrapText="1"/>
    </xf>
    <xf numFmtId="3" fontId="3" fillId="4" borderId="36" xfId="1" applyNumberFormat="1" applyFont="1" applyFill="1" applyBorder="1" applyAlignment="1">
      <alignment horizontal="left" vertical="center" wrapText="1"/>
    </xf>
    <xf numFmtId="3" fontId="3" fillId="9" borderId="35" xfId="1" applyNumberFormat="1" applyFont="1" applyFill="1" applyBorder="1" applyAlignment="1">
      <alignment horizontal="left" vertical="center" wrapText="1"/>
    </xf>
    <xf numFmtId="3" fontId="3" fillId="9" borderId="36" xfId="1" applyNumberFormat="1" applyFont="1" applyFill="1" applyBorder="1" applyAlignment="1">
      <alignment horizontal="left" vertical="center" wrapText="1"/>
    </xf>
    <xf numFmtId="185" fontId="3" fillId="9" borderId="35" xfId="1" applyNumberFormat="1" applyFont="1" applyFill="1" applyBorder="1" applyAlignment="1">
      <alignment horizontal="left" vertical="center" wrapText="1"/>
    </xf>
    <xf numFmtId="185" fontId="3" fillId="9" borderId="36" xfId="1" applyNumberFormat="1" applyFont="1" applyFill="1" applyBorder="1" applyAlignment="1">
      <alignment horizontal="left" vertical="center" wrapText="1"/>
    </xf>
    <xf numFmtId="38" fontId="3" fillId="2" borderId="35" xfId="1" applyFont="1" applyFill="1" applyBorder="1" applyAlignment="1">
      <alignment horizontal="left" vertical="center" wrapText="1"/>
    </xf>
    <xf numFmtId="38" fontId="3" fillId="2" borderId="36" xfId="1" applyFont="1" applyFill="1" applyBorder="1" applyAlignment="1">
      <alignment horizontal="left" vertical="center" wrapText="1"/>
    </xf>
    <xf numFmtId="38" fontId="7" fillId="2" borderId="35" xfId="1" applyFont="1" applyFill="1" applyBorder="1" applyAlignment="1">
      <alignment horizontal="left" vertical="center" wrapText="1"/>
    </xf>
    <xf numFmtId="38" fontId="7" fillId="2" borderId="36" xfId="1" applyFont="1" applyFill="1" applyBorder="1" applyAlignment="1">
      <alignment horizontal="left" vertical="center" wrapText="1"/>
    </xf>
    <xf numFmtId="38" fontId="6" fillId="2" borderId="35" xfId="1" applyFont="1" applyFill="1" applyBorder="1" applyAlignment="1">
      <alignment horizontal="left" vertical="center" wrapText="1"/>
    </xf>
    <xf numFmtId="38" fontId="6" fillId="2" borderId="36" xfId="1" applyFont="1" applyFill="1" applyBorder="1" applyAlignment="1">
      <alignment horizontal="left" vertical="center" wrapText="1"/>
    </xf>
    <xf numFmtId="38" fontId="3" fillId="12" borderId="35" xfId="1" applyFont="1" applyFill="1" applyBorder="1" applyAlignment="1">
      <alignment horizontal="left" vertical="center" wrapText="1"/>
    </xf>
    <xf numFmtId="38" fontId="3" fillId="12" borderId="36" xfId="1" applyFont="1" applyFill="1" applyBorder="1" applyAlignment="1">
      <alignment horizontal="left" vertical="center" wrapText="1"/>
    </xf>
    <xf numFmtId="38" fontId="6" fillId="12" borderId="35" xfId="1" applyFont="1" applyFill="1" applyBorder="1" applyAlignment="1">
      <alignment horizontal="left" vertical="center" wrapText="1"/>
    </xf>
    <xf numFmtId="38" fontId="6" fillId="12" borderId="36" xfId="1" applyFont="1" applyFill="1" applyBorder="1" applyAlignment="1">
      <alignment horizontal="left" vertical="center" wrapText="1"/>
    </xf>
    <xf numFmtId="38" fontId="7" fillId="12" borderId="35" xfId="1" applyFont="1" applyFill="1" applyBorder="1" applyAlignment="1">
      <alignment horizontal="left" vertical="center" wrapText="1"/>
    </xf>
    <xf numFmtId="38" fontId="7" fillId="12" borderId="36" xfId="1" applyFont="1" applyFill="1" applyBorder="1" applyAlignment="1">
      <alignment horizontal="left" vertical="center" wrapText="1"/>
    </xf>
    <xf numFmtId="38" fontId="3" fillId="7" borderId="35" xfId="1" applyFont="1" applyFill="1" applyBorder="1" applyAlignment="1">
      <alignment horizontal="left" vertical="center" wrapText="1"/>
    </xf>
    <xf numFmtId="38" fontId="3" fillId="7" borderId="36" xfId="1" applyFont="1" applyFill="1" applyBorder="1" applyAlignment="1">
      <alignment horizontal="left" vertical="center" wrapText="1"/>
    </xf>
    <xf numFmtId="38" fontId="6" fillId="7" borderId="35" xfId="1" applyFont="1" applyFill="1" applyBorder="1" applyAlignment="1">
      <alignment horizontal="left" vertical="center" wrapText="1"/>
    </xf>
    <xf numFmtId="38" fontId="6" fillId="7" borderId="36" xfId="1" applyFont="1" applyFill="1" applyBorder="1" applyAlignment="1">
      <alignment horizontal="left" vertical="center" wrapText="1"/>
    </xf>
    <xf numFmtId="38" fontId="7" fillId="7" borderId="35" xfId="1" applyFont="1" applyFill="1" applyBorder="1" applyAlignment="1">
      <alignment horizontal="left" vertical="center" wrapText="1"/>
    </xf>
    <xf numFmtId="38" fontId="7" fillId="7" borderId="36" xfId="1" applyFont="1" applyFill="1" applyBorder="1" applyAlignment="1">
      <alignment horizontal="left" vertical="center" wrapText="1"/>
    </xf>
    <xf numFmtId="38" fontId="3" fillId="8" borderId="35" xfId="1" applyFont="1" applyFill="1" applyBorder="1" applyAlignment="1">
      <alignment horizontal="left" vertical="center" wrapText="1"/>
    </xf>
    <xf numFmtId="38" fontId="3" fillId="8" borderId="36" xfId="1" applyFont="1" applyFill="1" applyBorder="1" applyAlignment="1">
      <alignment horizontal="left" vertical="center" wrapText="1"/>
    </xf>
    <xf numFmtId="3" fontId="14" fillId="4" borderId="35" xfId="1" applyNumberFormat="1" applyFont="1" applyFill="1" applyBorder="1" applyAlignment="1">
      <alignment horizontal="left" vertical="center" wrapText="1"/>
    </xf>
    <xf numFmtId="3" fontId="14" fillId="4" borderId="36" xfId="1" applyNumberFormat="1" applyFont="1" applyFill="1" applyBorder="1" applyAlignment="1">
      <alignment horizontal="left" vertical="center" wrapText="1"/>
    </xf>
    <xf numFmtId="3" fontId="3" fillId="8" borderId="35" xfId="1" applyNumberFormat="1" applyFont="1" applyFill="1" applyBorder="1" applyAlignment="1">
      <alignment horizontal="left" vertical="center" wrapText="1"/>
    </xf>
    <xf numFmtId="3" fontId="3" fillId="8" borderId="36" xfId="1" applyNumberFormat="1" applyFont="1" applyFill="1" applyBorder="1" applyAlignment="1">
      <alignment horizontal="lef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99CCFF"/>
      <color rgb="FF66CCFF"/>
      <color rgb="FF6699FF"/>
      <color rgb="FF0099FF"/>
      <color rgb="FF00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410d586\04_&#26989;&#21209;&#20849;&#26377;\3&#12304;&#23696;&#38428;&#12305;\&#9679;60&#26399;\&#12304;&#21463;&#35351;&#12305;&#23696;&#38428;&#30476;&#25919;&#19990;&#35542;&#24066;&#27665;&#24847;&#35672;&#35519;&#26619;\11_&#12525;&#12540;&#12487;&#12540;&#12479;\R1%20&#38598;&#35336;&#34920;\&#23696;&#38428;&#30476;%20&#30476;&#25919;&#19990;&#35542;&#35519;&#26619;%20&#12525;&#12540;&#12487;&#12540;&#12479;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ﾛｰﾃﾞｰﾀ"/>
      <sheetName val="変換表"/>
      <sheetName val="基本属性"/>
      <sheetName val="問1"/>
      <sheetName val="問1 グラフ"/>
      <sheetName val="問1 経年"/>
      <sheetName val="問1-2"/>
      <sheetName val="問1-2 (グラフ)"/>
      <sheetName val="問2"/>
      <sheetName val="問2 グラフ"/>
      <sheetName val="問2 経年"/>
      <sheetName val="問3"/>
      <sheetName val="問3 (グラフ)"/>
      <sheetName val="問4"/>
      <sheetName val="問4 (グラフ)"/>
      <sheetName val="問5"/>
      <sheetName val="問5 (グラフ)"/>
      <sheetName val="問6"/>
      <sheetName val="問6 グラフ"/>
      <sheetName val="問6-2"/>
      <sheetName val="問6-2 (グラフ)"/>
      <sheetName val="問6-3"/>
      <sheetName val="問6-3 (グラフ)"/>
      <sheetName val="問7"/>
      <sheetName val="問7 グラフ"/>
      <sheetName val="問8"/>
      <sheetName val="問8 (グラフ)"/>
      <sheetName val="問9"/>
      <sheetName val="問9 グラフ"/>
      <sheetName val="問9 経年"/>
      <sheetName val="問9-2"/>
      <sheetName val="問9-2 グラフ"/>
      <sheetName val="問9-2 グラフ （幅21例）"/>
      <sheetName val="問10 ①"/>
      <sheetName val="問10 ① (グラフ)"/>
      <sheetName val="問10 ②"/>
      <sheetName val="問10 ② (グラフ)"/>
      <sheetName val="問11"/>
      <sheetName val="問11 (グラフ)"/>
      <sheetName val="問1-2_FA"/>
      <sheetName val="問3_FA"/>
      <sheetName val="問4_FA"/>
      <sheetName val="問5_FA"/>
      <sheetName val="問6-2_FA"/>
      <sheetName val="問6-3_FA"/>
      <sheetName val="問8_FA"/>
      <sheetName val="問9-2_FA"/>
      <sheetName val="F6_FA"/>
      <sheetName val="F8_FA"/>
      <sheetName val="F10_FA"/>
      <sheetName val="F11_FA"/>
    </sheetNames>
    <sheetDataSet>
      <sheetData sheetId="0">
        <row r="11">
          <cell r="CV11">
            <v>1</v>
          </cell>
        </row>
        <row r="12">
          <cell r="CV12">
            <v>3</v>
          </cell>
        </row>
        <row r="13">
          <cell r="CV13">
            <v>3</v>
          </cell>
        </row>
        <row r="14">
          <cell r="CV14">
            <v>2</v>
          </cell>
        </row>
        <row r="15">
          <cell r="CV15">
            <v>2</v>
          </cell>
        </row>
        <row r="16">
          <cell r="CV16">
            <v>5</v>
          </cell>
        </row>
        <row r="17">
          <cell r="CV17">
            <v>3</v>
          </cell>
        </row>
        <row r="18">
          <cell r="CV18">
            <v>1</v>
          </cell>
        </row>
        <row r="19">
          <cell r="CV19">
            <v>3</v>
          </cell>
        </row>
        <row r="20">
          <cell r="CV20">
            <v>1</v>
          </cell>
        </row>
        <row r="21">
          <cell r="CV21">
            <v>2</v>
          </cell>
        </row>
        <row r="22">
          <cell r="CV22">
            <v>3</v>
          </cell>
        </row>
        <row r="23">
          <cell r="CV23">
            <v>2</v>
          </cell>
        </row>
        <row r="24">
          <cell r="CV24">
            <v>1</v>
          </cell>
        </row>
        <row r="25">
          <cell r="CV25">
            <v>5</v>
          </cell>
        </row>
        <row r="26">
          <cell r="CV26">
            <v>3</v>
          </cell>
        </row>
        <row r="27">
          <cell r="CV27">
            <v>5</v>
          </cell>
        </row>
        <row r="28">
          <cell r="CV28">
            <v>2</v>
          </cell>
        </row>
        <row r="29">
          <cell r="CV29">
            <v>3</v>
          </cell>
        </row>
        <row r="30">
          <cell r="CV30">
            <v>1</v>
          </cell>
        </row>
        <row r="31">
          <cell r="CV31">
            <v>1</v>
          </cell>
        </row>
        <row r="32">
          <cell r="CV32">
            <v>3</v>
          </cell>
        </row>
        <row r="33">
          <cell r="CV33">
            <v>2</v>
          </cell>
        </row>
        <row r="34">
          <cell r="CV34">
            <v>3</v>
          </cell>
        </row>
        <row r="35">
          <cell r="CV35">
            <v>2</v>
          </cell>
        </row>
        <row r="36">
          <cell r="CV36">
            <v>1</v>
          </cell>
        </row>
        <row r="37">
          <cell r="CV37">
            <v>2</v>
          </cell>
        </row>
        <row r="38">
          <cell r="CV38">
            <v>3</v>
          </cell>
        </row>
        <row r="39">
          <cell r="CV39">
            <v>2</v>
          </cell>
        </row>
        <row r="40">
          <cell r="CV40">
            <v>3</v>
          </cell>
        </row>
        <row r="41">
          <cell r="CV41">
            <v>5</v>
          </cell>
        </row>
        <row r="42">
          <cell r="CV42">
            <v>1</v>
          </cell>
        </row>
        <row r="43">
          <cell r="CV43">
            <v>3</v>
          </cell>
        </row>
        <row r="44">
          <cell r="CV44">
            <v>2</v>
          </cell>
        </row>
        <row r="45">
          <cell r="CV45">
            <v>1</v>
          </cell>
        </row>
        <row r="46">
          <cell r="CV46">
            <v>2</v>
          </cell>
        </row>
        <row r="47">
          <cell r="CV47">
            <v>3</v>
          </cell>
        </row>
        <row r="48">
          <cell r="CV48">
            <v>3</v>
          </cell>
        </row>
        <row r="49">
          <cell r="CV49">
            <v>3</v>
          </cell>
        </row>
        <row r="50">
          <cell r="CV50">
            <v>2</v>
          </cell>
        </row>
        <row r="51">
          <cell r="CV51">
            <v>3</v>
          </cell>
        </row>
        <row r="52">
          <cell r="CV52">
            <v>4</v>
          </cell>
        </row>
        <row r="53">
          <cell r="CV53">
            <v>3</v>
          </cell>
        </row>
        <row r="54">
          <cell r="CV54">
            <v>4</v>
          </cell>
        </row>
        <row r="55">
          <cell r="CV55">
            <v>2</v>
          </cell>
        </row>
        <row r="56">
          <cell r="CV56">
            <v>2</v>
          </cell>
        </row>
        <row r="57">
          <cell r="CV57">
            <v>1</v>
          </cell>
        </row>
        <row r="58">
          <cell r="CV58">
            <v>3</v>
          </cell>
        </row>
        <row r="59">
          <cell r="CV59">
            <v>3</v>
          </cell>
        </row>
        <row r="60">
          <cell r="CV60">
            <v>1</v>
          </cell>
        </row>
        <row r="61">
          <cell r="CV61">
            <v>2</v>
          </cell>
        </row>
        <row r="62">
          <cell r="CV62">
            <v>2</v>
          </cell>
        </row>
        <row r="63">
          <cell r="CV63">
            <v>4</v>
          </cell>
        </row>
        <row r="64">
          <cell r="CV64">
            <v>3</v>
          </cell>
        </row>
        <row r="65">
          <cell r="CV65">
            <v>3</v>
          </cell>
        </row>
        <row r="66">
          <cell r="CV66">
            <v>3</v>
          </cell>
        </row>
        <row r="67">
          <cell r="CV67">
            <v>4</v>
          </cell>
        </row>
        <row r="68">
          <cell r="CV68">
            <v>2</v>
          </cell>
        </row>
        <row r="69">
          <cell r="CV69">
            <v>3</v>
          </cell>
        </row>
        <row r="70">
          <cell r="CV70">
            <v>2</v>
          </cell>
        </row>
        <row r="71">
          <cell r="CV71">
            <v>5</v>
          </cell>
        </row>
        <row r="72">
          <cell r="CV72">
            <v>4</v>
          </cell>
        </row>
        <row r="73">
          <cell r="CV73">
            <v>5</v>
          </cell>
        </row>
        <row r="74">
          <cell r="CV74">
            <v>3</v>
          </cell>
        </row>
        <row r="75">
          <cell r="CV75">
            <v>2</v>
          </cell>
        </row>
        <row r="76">
          <cell r="CV76">
            <v>3</v>
          </cell>
        </row>
        <row r="77">
          <cell r="CV77">
            <v>3</v>
          </cell>
        </row>
        <row r="78">
          <cell r="CV78">
            <v>5</v>
          </cell>
        </row>
        <row r="79">
          <cell r="CV79">
            <v>3</v>
          </cell>
        </row>
        <row r="80">
          <cell r="CV80">
            <v>3</v>
          </cell>
        </row>
        <row r="81">
          <cell r="CV81">
            <v>1</v>
          </cell>
        </row>
        <row r="82">
          <cell r="CV82">
            <v>2</v>
          </cell>
        </row>
        <row r="83">
          <cell r="CV83">
            <v>5</v>
          </cell>
        </row>
        <row r="84">
          <cell r="CV84">
            <v>4</v>
          </cell>
        </row>
        <row r="85">
          <cell r="CV85">
            <v>4</v>
          </cell>
        </row>
        <row r="86">
          <cell r="CV86">
            <v>2</v>
          </cell>
        </row>
        <row r="87">
          <cell r="CV87">
            <v>3</v>
          </cell>
        </row>
        <row r="88">
          <cell r="CV88">
            <v>3</v>
          </cell>
        </row>
        <row r="89">
          <cell r="CV89">
            <v>2</v>
          </cell>
        </row>
        <row r="90">
          <cell r="CV90">
            <v>3</v>
          </cell>
        </row>
        <row r="91">
          <cell r="CV91">
            <v>3</v>
          </cell>
        </row>
        <row r="92">
          <cell r="CV92">
            <v>2</v>
          </cell>
        </row>
        <row r="93">
          <cell r="CV93">
            <v>3</v>
          </cell>
        </row>
        <row r="94">
          <cell r="CV94">
            <v>3</v>
          </cell>
        </row>
        <row r="96">
          <cell r="CV96">
            <v>3</v>
          </cell>
        </row>
        <row r="97">
          <cell r="CV97">
            <v>2</v>
          </cell>
        </row>
        <row r="98">
          <cell r="CV98">
            <v>2</v>
          </cell>
        </row>
        <row r="99">
          <cell r="CV99">
            <v>3</v>
          </cell>
        </row>
        <row r="100">
          <cell r="CV100">
            <v>1</v>
          </cell>
        </row>
        <row r="101">
          <cell r="CV101">
            <v>1</v>
          </cell>
        </row>
        <row r="102">
          <cell r="CV102">
            <v>1</v>
          </cell>
        </row>
        <row r="103">
          <cell r="CV103">
            <v>2</v>
          </cell>
        </row>
        <row r="104">
          <cell r="CV104">
            <v>3</v>
          </cell>
        </row>
        <row r="105">
          <cell r="CV105">
            <v>1</v>
          </cell>
        </row>
        <row r="106">
          <cell r="CV106">
            <v>3</v>
          </cell>
        </row>
        <row r="107">
          <cell r="CV107">
            <v>4</v>
          </cell>
        </row>
        <row r="108">
          <cell r="CV108">
            <v>5</v>
          </cell>
        </row>
        <row r="109">
          <cell r="CV109">
            <v>4</v>
          </cell>
        </row>
        <row r="110">
          <cell r="CV110">
            <v>3</v>
          </cell>
        </row>
        <row r="111">
          <cell r="CV111">
            <v>3</v>
          </cell>
        </row>
        <row r="112">
          <cell r="CV112">
            <v>2</v>
          </cell>
        </row>
        <row r="113">
          <cell r="CV113">
            <v>3</v>
          </cell>
        </row>
        <row r="114">
          <cell r="CV114">
            <v>1</v>
          </cell>
        </row>
        <row r="115">
          <cell r="CV115">
            <v>3</v>
          </cell>
        </row>
        <row r="116">
          <cell r="CV116">
            <v>2</v>
          </cell>
        </row>
        <row r="117">
          <cell r="CV117">
            <v>1</v>
          </cell>
        </row>
        <row r="118">
          <cell r="CV118">
            <v>2</v>
          </cell>
        </row>
        <row r="119">
          <cell r="CV119">
            <v>5</v>
          </cell>
        </row>
        <row r="120">
          <cell r="CV120">
            <v>3</v>
          </cell>
        </row>
        <row r="121">
          <cell r="CV121">
            <v>5</v>
          </cell>
        </row>
        <row r="122">
          <cell r="CV122">
            <v>3</v>
          </cell>
        </row>
        <row r="123">
          <cell r="CV123">
            <v>2</v>
          </cell>
        </row>
        <row r="124">
          <cell r="CV124">
            <v>2</v>
          </cell>
        </row>
        <row r="125">
          <cell r="CV125">
            <v>2</v>
          </cell>
        </row>
        <row r="126">
          <cell r="CV126">
            <v>2</v>
          </cell>
        </row>
        <row r="127">
          <cell r="CV127">
            <v>3</v>
          </cell>
        </row>
        <row r="128">
          <cell r="CV128">
            <v>4</v>
          </cell>
        </row>
        <row r="129">
          <cell r="CV129">
            <v>3</v>
          </cell>
        </row>
        <row r="130">
          <cell r="CV130">
            <v>2</v>
          </cell>
        </row>
        <row r="131">
          <cell r="CV131">
            <v>4</v>
          </cell>
        </row>
        <row r="132">
          <cell r="CV132">
            <v>2</v>
          </cell>
        </row>
        <row r="133">
          <cell r="CV133">
            <v>5</v>
          </cell>
        </row>
        <row r="134">
          <cell r="CV134">
            <v>3</v>
          </cell>
        </row>
        <row r="135">
          <cell r="CV135">
            <v>5</v>
          </cell>
        </row>
        <row r="136">
          <cell r="CV136">
            <v>3</v>
          </cell>
        </row>
        <row r="137">
          <cell r="CV137">
            <v>5</v>
          </cell>
        </row>
        <row r="138">
          <cell r="CV138">
            <v>5</v>
          </cell>
        </row>
        <row r="139">
          <cell r="CV139">
            <v>2</v>
          </cell>
        </row>
        <row r="140">
          <cell r="CV140">
            <v>3</v>
          </cell>
        </row>
        <row r="141">
          <cell r="CV141">
            <v>3</v>
          </cell>
        </row>
        <row r="142">
          <cell r="CV142">
            <v>4</v>
          </cell>
        </row>
        <row r="143">
          <cell r="CV143">
            <v>1</v>
          </cell>
        </row>
        <row r="144">
          <cell r="CV144">
            <v>3</v>
          </cell>
        </row>
        <row r="145">
          <cell r="CV145">
            <v>4</v>
          </cell>
        </row>
        <row r="146">
          <cell r="CV146">
            <v>3</v>
          </cell>
        </row>
        <row r="147">
          <cell r="CV147">
            <v>2</v>
          </cell>
        </row>
        <row r="148">
          <cell r="CV148">
            <v>3</v>
          </cell>
        </row>
        <row r="149">
          <cell r="CV149">
            <v>1</v>
          </cell>
        </row>
        <row r="150">
          <cell r="CV150">
            <v>2</v>
          </cell>
        </row>
        <row r="151">
          <cell r="CV151">
            <v>2</v>
          </cell>
        </row>
        <row r="152">
          <cell r="CV152">
            <v>1</v>
          </cell>
        </row>
        <row r="153">
          <cell r="CV153">
            <v>3</v>
          </cell>
        </row>
        <row r="154">
          <cell r="CV154">
            <v>3</v>
          </cell>
        </row>
        <row r="155">
          <cell r="CV155">
            <v>3</v>
          </cell>
        </row>
        <row r="156">
          <cell r="CV156">
            <v>3</v>
          </cell>
        </row>
        <row r="157">
          <cell r="CV157">
            <v>2</v>
          </cell>
        </row>
        <row r="158">
          <cell r="CV158">
            <v>1</v>
          </cell>
        </row>
        <row r="159">
          <cell r="CV159">
            <v>5</v>
          </cell>
        </row>
        <row r="160">
          <cell r="CV160">
            <v>2</v>
          </cell>
        </row>
        <row r="161">
          <cell r="CV161">
            <v>3</v>
          </cell>
        </row>
        <row r="162">
          <cell r="CV162">
            <v>3</v>
          </cell>
        </row>
        <row r="163">
          <cell r="CV163">
            <v>2</v>
          </cell>
        </row>
        <row r="164">
          <cell r="CV164">
            <v>2</v>
          </cell>
        </row>
        <row r="165">
          <cell r="CV165">
            <v>3</v>
          </cell>
        </row>
        <row r="166">
          <cell r="CV166">
            <v>5</v>
          </cell>
        </row>
        <row r="167">
          <cell r="CV167">
            <v>2</v>
          </cell>
        </row>
        <row r="168">
          <cell r="CV168">
            <v>1</v>
          </cell>
        </row>
        <row r="169">
          <cell r="CV169">
            <v>2</v>
          </cell>
        </row>
        <row r="170">
          <cell r="CV170">
            <v>1</v>
          </cell>
        </row>
        <row r="171">
          <cell r="CV171">
            <v>2</v>
          </cell>
        </row>
        <row r="172">
          <cell r="CV172">
            <v>3</v>
          </cell>
        </row>
        <row r="173">
          <cell r="CV173">
            <v>4</v>
          </cell>
        </row>
        <row r="174">
          <cell r="CV174">
            <v>2</v>
          </cell>
        </row>
        <row r="175">
          <cell r="CV175">
            <v>3</v>
          </cell>
        </row>
        <row r="176">
          <cell r="CV176">
            <v>2</v>
          </cell>
        </row>
        <row r="177">
          <cell r="CV177">
            <v>1</v>
          </cell>
        </row>
        <row r="178">
          <cell r="CV178">
            <v>3</v>
          </cell>
        </row>
        <row r="179">
          <cell r="CV179">
            <v>2</v>
          </cell>
        </row>
        <row r="180">
          <cell r="CV180">
            <v>5</v>
          </cell>
        </row>
        <row r="181">
          <cell r="CV181">
            <v>3</v>
          </cell>
        </row>
        <row r="182">
          <cell r="CV182">
            <v>2</v>
          </cell>
        </row>
        <row r="183">
          <cell r="CV183">
            <v>1</v>
          </cell>
        </row>
        <row r="184">
          <cell r="CV184">
            <v>3</v>
          </cell>
        </row>
        <row r="185">
          <cell r="CV185">
            <v>4</v>
          </cell>
        </row>
        <row r="186">
          <cell r="CV186">
            <v>4</v>
          </cell>
        </row>
        <row r="187">
          <cell r="CV187">
            <v>4</v>
          </cell>
        </row>
        <row r="188">
          <cell r="CV188">
            <v>2</v>
          </cell>
        </row>
        <row r="189">
          <cell r="CV189">
            <v>3</v>
          </cell>
        </row>
        <row r="190">
          <cell r="CV190">
            <v>1</v>
          </cell>
        </row>
        <row r="191">
          <cell r="CV191">
            <v>3</v>
          </cell>
        </row>
        <row r="192">
          <cell r="CV192">
            <v>4</v>
          </cell>
        </row>
        <row r="193">
          <cell r="CV193">
            <v>1</v>
          </cell>
        </row>
        <row r="194">
          <cell r="CV194">
            <v>2</v>
          </cell>
        </row>
        <row r="195">
          <cell r="CV195">
            <v>3</v>
          </cell>
        </row>
        <row r="196">
          <cell r="CV196">
            <v>2</v>
          </cell>
        </row>
        <row r="197">
          <cell r="CV197">
            <v>3</v>
          </cell>
        </row>
        <row r="198">
          <cell r="CV198">
            <v>4</v>
          </cell>
        </row>
        <row r="199">
          <cell r="CV199">
            <v>3</v>
          </cell>
        </row>
        <row r="200">
          <cell r="CV200">
            <v>3</v>
          </cell>
        </row>
        <row r="201">
          <cell r="CV201">
            <v>3</v>
          </cell>
        </row>
        <row r="202">
          <cell r="CV202">
            <v>2</v>
          </cell>
        </row>
        <row r="203">
          <cell r="CV203">
            <v>3</v>
          </cell>
        </row>
        <row r="204">
          <cell r="CV204">
            <v>2</v>
          </cell>
        </row>
        <row r="205">
          <cell r="CV205">
            <v>1</v>
          </cell>
        </row>
        <row r="206">
          <cell r="CV206">
            <v>4</v>
          </cell>
        </row>
        <row r="207">
          <cell r="CV207">
            <v>3</v>
          </cell>
        </row>
        <row r="208">
          <cell r="CV208">
            <v>2</v>
          </cell>
        </row>
        <row r="209">
          <cell r="CV209">
            <v>3</v>
          </cell>
        </row>
        <row r="210">
          <cell r="CV210">
            <v>3</v>
          </cell>
        </row>
        <row r="211">
          <cell r="CV211">
            <v>2</v>
          </cell>
        </row>
        <row r="212">
          <cell r="CV212">
            <v>2</v>
          </cell>
        </row>
        <row r="213">
          <cell r="CV213">
            <v>2</v>
          </cell>
        </row>
        <row r="214">
          <cell r="CV214">
            <v>1</v>
          </cell>
        </row>
        <row r="215">
          <cell r="CV215">
            <v>2</v>
          </cell>
        </row>
        <row r="216">
          <cell r="CV216">
            <v>2</v>
          </cell>
        </row>
        <row r="217">
          <cell r="CV217">
            <v>2</v>
          </cell>
        </row>
        <row r="218">
          <cell r="CV218">
            <v>2</v>
          </cell>
        </row>
        <row r="219">
          <cell r="CV219">
            <v>1</v>
          </cell>
        </row>
        <row r="220">
          <cell r="CV220">
            <v>2</v>
          </cell>
        </row>
        <row r="221">
          <cell r="CV221">
            <v>3</v>
          </cell>
        </row>
        <row r="222">
          <cell r="CV222">
            <v>4</v>
          </cell>
        </row>
        <row r="223">
          <cell r="CV223">
            <v>2</v>
          </cell>
        </row>
        <row r="224">
          <cell r="CV224">
            <v>2</v>
          </cell>
        </row>
        <row r="225">
          <cell r="CV225">
            <v>5</v>
          </cell>
        </row>
        <row r="226">
          <cell r="CV226">
            <v>3</v>
          </cell>
        </row>
        <row r="227">
          <cell r="CV227">
            <v>2</v>
          </cell>
        </row>
        <row r="228">
          <cell r="CV228">
            <v>3</v>
          </cell>
        </row>
        <row r="229">
          <cell r="CV229">
            <v>2</v>
          </cell>
        </row>
        <row r="230">
          <cell r="CV230">
            <v>2</v>
          </cell>
        </row>
        <row r="231">
          <cell r="CV231">
            <v>3</v>
          </cell>
        </row>
        <row r="232">
          <cell r="CV232">
            <v>5</v>
          </cell>
        </row>
        <row r="233">
          <cell r="CV233">
            <v>2</v>
          </cell>
        </row>
        <row r="234">
          <cell r="CV234">
            <v>3</v>
          </cell>
        </row>
        <row r="235">
          <cell r="CV235">
            <v>3</v>
          </cell>
        </row>
        <row r="236">
          <cell r="CV236">
            <v>3</v>
          </cell>
        </row>
        <row r="237">
          <cell r="CV237">
            <v>3</v>
          </cell>
        </row>
        <row r="238">
          <cell r="CV238">
            <v>3</v>
          </cell>
        </row>
        <row r="239">
          <cell r="CV239">
            <v>4</v>
          </cell>
        </row>
        <row r="240">
          <cell r="CV240">
            <v>4</v>
          </cell>
        </row>
        <row r="241">
          <cell r="CV241">
            <v>3</v>
          </cell>
        </row>
        <row r="242">
          <cell r="CV242">
            <v>2</v>
          </cell>
        </row>
        <row r="243">
          <cell r="CV243">
            <v>4</v>
          </cell>
        </row>
        <row r="244">
          <cell r="CV244">
            <v>3</v>
          </cell>
        </row>
        <row r="245">
          <cell r="CV245">
            <v>3</v>
          </cell>
        </row>
        <row r="246">
          <cell r="CV246">
            <v>4</v>
          </cell>
        </row>
        <row r="247">
          <cell r="CV247">
            <v>3</v>
          </cell>
        </row>
        <row r="248">
          <cell r="CV248">
            <v>4</v>
          </cell>
        </row>
        <row r="249">
          <cell r="CV249">
            <v>4</v>
          </cell>
        </row>
        <row r="250">
          <cell r="CV250">
            <v>5</v>
          </cell>
        </row>
        <row r="251">
          <cell r="CV251">
            <v>2</v>
          </cell>
        </row>
        <row r="252">
          <cell r="CV252">
            <v>3</v>
          </cell>
        </row>
        <row r="253">
          <cell r="CV253">
            <v>2</v>
          </cell>
        </row>
        <row r="254">
          <cell r="CV254">
            <v>3</v>
          </cell>
        </row>
        <row r="255">
          <cell r="CV255">
            <v>4</v>
          </cell>
        </row>
        <row r="256">
          <cell r="CV256">
            <v>1</v>
          </cell>
        </row>
        <row r="257">
          <cell r="CV257">
            <v>2</v>
          </cell>
        </row>
        <row r="258">
          <cell r="CV258">
            <v>2</v>
          </cell>
        </row>
        <row r="259">
          <cell r="CV259">
            <v>3</v>
          </cell>
        </row>
        <row r="260">
          <cell r="CV260">
            <v>3</v>
          </cell>
        </row>
        <row r="261">
          <cell r="CV261">
            <v>3</v>
          </cell>
        </row>
        <row r="262">
          <cell r="CV262">
            <v>2</v>
          </cell>
        </row>
        <row r="263">
          <cell r="CV263">
            <v>4</v>
          </cell>
        </row>
        <row r="264">
          <cell r="CV264">
            <v>2</v>
          </cell>
        </row>
        <row r="265">
          <cell r="CV265">
            <v>2</v>
          </cell>
        </row>
        <row r="266">
          <cell r="CV266">
            <v>3</v>
          </cell>
        </row>
        <row r="267">
          <cell r="CV267">
            <v>3</v>
          </cell>
        </row>
        <row r="268">
          <cell r="CV268">
            <v>2</v>
          </cell>
        </row>
        <row r="269">
          <cell r="CV269">
            <v>3</v>
          </cell>
        </row>
        <row r="270">
          <cell r="CV270">
            <v>4</v>
          </cell>
        </row>
        <row r="271">
          <cell r="CV271">
            <v>2</v>
          </cell>
        </row>
        <row r="273">
          <cell r="CV273">
            <v>3</v>
          </cell>
        </row>
        <row r="274">
          <cell r="CV274">
            <v>1</v>
          </cell>
        </row>
        <row r="275">
          <cell r="CV275">
            <v>5</v>
          </cell>
        </row>
        <row r="276">
          <cell r="CV276">
            <v>3</v>
          </cell>
        </row>
        <row r="277">
          <cell r="CV277">
            <v>3</v>
          </cell>
        </row>
        <row r="278">
          <cell r="CV278">
            <v>3</v>
          </cell>
        </row>
        <row r="279">
          <cell r="CV279">
            <v>3</v>
          </cell>
        </row>
        <row r="280">
          <cell r="CV280">
            <v>3</v>
          </cell>
        </row>
        <row r="281">
          <cell r="CV281">
            <v>2</v>
          </cell>
        </row>
        <row r="282">
          <cell r="CV282">
            <v>3</v>
          </cell>
        </row>
        <row r="283">
          <cell r="CV283">
            <v>3</v>
          </cell>
        </row>
        <row r="284">
          <cell r="CV284">
            <v>5</v>
          </cell>
        </row>
        <row r="285">
          <cell r="CV285">
            <v>2</v>
          </cell>
        </row>
        <row r="286">
          <cell r="CV286">
            <v>4</v>
          </cell>
        </row>
        <row r="287">
          <cell r="CV287">
            <v>1</v>
          </cell>
        </row>
        <row r="288">
          <cell r="CV288">
            <v>2</v>
          </cell>
        </row>
        <row r="289">
          <cell r="CV289">
            <v>2</v>
          </cell>
        </row>
        <row r="290">
          <cell r="CV290">
            <v>2</v>
          </cell>
        </row>
        <row r="291">
          <cell r="CV291">
            <v>3</v>
          </cell>
        </row>
        <row r="292">
          <cell r="CV292">
            <v>4</v>
          </cell>
        </row>
        <row r="293">
          <cell r="CV293">
            <v>2</v>
          </cell>
        </row>
        <row r="294">
          <cell r="CV294">
            <v>2</v>
          </cell>
        </row>
        <row r="295">
          <cell r="CV295">
            <v>2</v>
          </cell>
        </row>
        <row r="296">
          <cell r="CV296">
            <v>3</v>
          </cell>
        </row>
        <row r="297">
          <cell r="CV297">
            <v>2</v>
          </cell>
        </row>
        <row r="298">
          <cell r="CV298">
            <v>2</v>
          </cell>
        </row>
        <row r="299">
          <cell r="CV299">
            <v>2</v>
          </cell>
        </row>
        <row r="300">
          <cell r="CV300">
            <v>4</v>
          </cell>
        </row>
        <row r="301">
          <cell r="CV301">
            <v>2</v>
          </cell>
        </row>
        <row r="302">
          <cell r="CV302">
            <v>5</v>
          </cell>
        </row>
        <row r="303">
          <cell r="CV303">
            <v>3</v>
          </cell>
        </row>
        <row r="304">
          <cell r="CV304">
            <v>2</v>
          </cell>
        </row>
        <row r="305">
          <cell r="CV305">
            <v>1</v>
          </cell>
        </row>
        <row r="306">
          <cell r="CV306">
            <v>2</v>
          </cell>
        </row>
        <row r="307">
          <cell r="CV307">
            <v>3</v>
          </cell>
        </row>
        <row r="308">
          <cell r="CV308">
            <v>2</v>
          </cell>
        </row>
        <row r="309">
          <cell r="CV309">
            <v>2</v>
          </cell>
        </row>
        <row r="310">
          <cell r="CV310">
            <v>2</v>
          </cell>
        </row>
        <row r="311">
          <cell r="CV311">
            <v>3</v>
          </cell>
        </row>
        <row r="312">
          <cell r="CV312">
            <v>1</v>
          </cell>
        </row>
        <row r="313">
          <cell r="CV313">
            <v>3</v>
          </cell>
        </row>
        <row r="314">
          <cell r="CV314">
            <v>2</v>
          </cell>
        </row>
        <row r="315">
          <cell r="CV315">
            <v>2</v>
          </cell>
        </row>
        <row r="316">
          <cell r="CV316">
            <v>2</v>
          </cell>
        </row>
        <row r="317">
          <cell r="CV317">
            <v>5</v>
          </cell>
        </row>
        <row r="318">
          <cell r="CV318">
            <v>5</v>
          </cell>
        </row>
        <row r="319">
          <cell r="CV319">
            <v>2</v>
          </cell>
        </row>
        <row r="320">
          <cell r="CV320">
            <v>3</v>
          </cell>
        </row>
        <row r="321">
          <cell r="CV321">
            <v>3</v>
          </cell>
        </row>
        <row r="322">
          <cell r="CV322">
            <v>3</v>
          </cell>
        </row>
        <row r="323">
          <cell r="CV323">
            <v>2</v>
          </cell>
        </row>
        <row r="324">
          <cell r="CV324">
            <v>3</v>
          </cell>
        </row>
        <row r="325">
          <cell r="CV325">
            <v>2</v>
          </cell>
        </row>
        <row r="326">
          <cell r="CV326">
            <v>2</v>
          </cell>
        </row>
        <row r="327">
          <cell r="CV327">
            <v>4</v>
          </cell>
        </row>
        <row r="328">
          <cell r="CV328">
            <v>3</v>
          </cell>
        </row>
        <row r="329">
          <cell r="CV329">
            <v>2</v>
          </cell>
        </row>
        <row r="330">
          <cell r="CV330">
            <v>5</v>
          </cell>
        </row>
        <row r="331">
          <cell r="CV331">
            <v>1</v>
          </cell>
        </row>
        <row r="332">
          <cell r="CV332">
            <v>3</v>
          </cell>
        </row>
        <row r="333">
          <cell r="CV333">
            <v>2</v>
          </cell>
        </row>
        <row r="334">
          <cell r="CV334">
            <v>3</v>
          </cell>
        </row>
        <row r="335">
          <cell r="CV335">
            <v>2</v>
          </cell>
        </row>
        <row r="336">
          <cell r="CV336">
            <v>2</v>
          </cell>
        </row>
        <row r="337">
          <cell r="CV337">
            <v>4</v>
          </cell>
        </row>
        <row r="338">
          <cell r="CV338">
            <v>3</v>
          </cell>
        </row>
        <row r="339">
          <cell r="CV339">
            <v>2</v>
          </cell>
        </row>
        <row r="340">
          <cell r="CV340">
            <v>1</v>
          </cell>
        </row>
        <row r="341">
          <cell r="CV341">
            <v>5</v>
          </cell>
        </row>
        <row r="342">
          <cell r="CV342">
            <v>3</v>
          </cell>
        </row>
        <row r="343">
          <cell r="CV343">
            <v>1</v>
          </cell>
        </row>
        <row r="344">
          <cell r="CV344">
            <v>1</v>
          </cell>
        </row>
        <row r="345">
          <cell r="CV345">
            <v>3</v>
          </cell>
        </row>
        <row r="346">
          <cell r="CV346">
            <v>2</v>
          </cell>
        </row>
        <row r="347">
          <cell r="CV347">
            <v>5</v>
          </cell>
        </row>
        <row r="348">
          <cell r="CV348">
            <v>3</v>
          </cell>
        </row>
        <row r="349">
          <cell r="CV349">
            <v>3</v>
          </cell>
        </row>
        <row r="350">
          <cell r="CV350">
            <v>2</v>
          </cell>
        </row>
        <row r="351">
          <cell r="CV351">
            <v>3</v>
          </cell>
        </row>
        <row r="352">
          <cell r="CV352">
            <v>2</v>
          </cell>
        </row>
        <row r="353">
          <cell r="CV353">
            <v>2</v>
          </cell>
        </row>
        <row r="354">
          <cell r="CV354">
            <v>2</v>
          </cell>
        </row>
        <row r="355">
          <cell r="CV355">
            <v>2</v>
          </cell>
        </row>
        <row r="356">
          <cell r="CV356">
            <v>3</v>
          </cell>
        </row>
        <row r="357">
          <cell r="CV357">
            <v>1</v>
          </cell>
        </row>
        <row r="358">
          <cell r="CV358">
            <v>4</v>
          </cell>
        </row>
        <row r="359">
          <cell r="CV359">
            <v>1</v>
          </cell>
        </row>
        <row r="360">
          <cell r="CV360">
            <v>2</v>
          </cell>
        </row>
        <row r="361">
          <cell r="CV361">
            <v>3</v>
          </cell>
        </row>
        <row r="362">
          <cell r="CV362">
            <v>3</v>
          </cell>
        </row>
        <row r="363">
          <cell r="CV363">
            <v>5</v>
          </cell>
        </row>
        <row r="364">
          <cell r="CV364">
            <v>4</v>
          </cell>
        </row>
        <row r="365">
          <cell r="CV365">
            <v>4</v>
          </cell>
        </row>
        <row r="366">
          <cell r="CV366">
            <v>2</v>
          </cell>
        </row>
        <row r="367">
          <cell r="CV367">
            <v>2</v>
          </cell>
        </row>
        <row r="368">
          <cell r="CV368">
            <v>1</v>
          </cell>
        </row>
        <row r="369">
          <cell r="CV369">
            <v>1</v>
          </cell>
        </row>
        <row r="370">
          <cell r="CV370">
            <v>2</v>
          </cell>
        </row>
        <row r="371">
          <cell r="CV371">
            <v>4</v>
          </cell>
        </row>
        <row r="372">
          <cell r="CV372">
            <v>3</v>
          </cell>
        </row>
        <row r="373">
          <cell r="CV373">
            <v>4</v>
          </cell>
        </row>
        <row r="374">
          <cell r="CV374">
            <v>3</v>
          </cell>
        </row>
        <row r="375">
          <cell r="CV375">
            <v>1</v>
          </cell>
        </row>
        <row r="376">
          <cell r="CV376">
            <v>2</v>
          </cell>
        </row>
        <row r="377">
          <cell r="CV377">
            <v>2</v>
          </cell>
        </row>
        <row r="378">
          <cell r="CV378">
            <v>2</v>
          </cell>
        </row>
        <row r="379">
          <cell r="CV379">
            <v>2</v>
          </cell>
        </row>
        <row r="380">
          <cell r="CV380">
            <v>2</v>
          </cell>
        </row>
        <row r="381">
          <cell r="CV381">
            <v>3</v>
          </cell>
        </row>
        <row r="382">
          <cell r="CV382">
            <v>4</v>
          </cell>
        </row>
        <row r="383">
          <cell r="CV383">
            <v>2</v>
          </cell>
        </row>
        <row r="384">
          <cell r="CV384">
            <v>2</v>
          </cell>
        </row>
        <row r="385">
          <cell r="CV385">
            <v>4</v>
          </cell>
        </row>
        <row r="386">
          <cell r="CV386">
            <v>4</v>
          </cell>
        </row>
        <row r="387">
          <cell r="CV387">
            <v>3</v>
          </cell>
        </row>
        <row r="388">
          <cell r="CV388">
            <v>2</v>
          </cell>
        </row>
        <row r="389">
          <cell r="CV389">
            <v>2</v>
          </cell>
        </row>
        <row r="390">
          <cell r="CV390">
            <v>2</v>
          </cell>
        </row>
        <row r="391">
          <cell r="CV391">
            <v>3</v>
          </cell>
        </row>
        <row r="392">
          <cell r="CV392">
            <v>5</v>
          </cell>
        </row>
        <row r="393">
          <cell r="CV393">
            <v>3</v>
          </cell>
        </row>
        <row r="394">
          <cell r="CV394">
            <v>3</v>
          </cell>
        </row>
        <row r="395">
          <cell r="CV395">
            <v>4</v>
          </cell>
        </row>
        <row r="396">
          <cell r="CV396">
            <v>5</v>
          </cell>
        </row>
        <row r="397">
          <cell r="CV397">
            <v>4</v>
          </cell>
        </row>
        <row r="398">
          <cell r="CV398">
            <v>2</v>
          </cell>
        </row>
        <row r="399">
          <cell r="CV399">
            <v>2</v>
          </cell>
        </row>
        <row r="400">
          <cell r="CV400">
            <v>1</v>
          </cell>
        </row>
        <row r="401">
          <cell r="CV401">
            <v>3</v>
          </cell>
        </row>
        <row r="402">
          <cell r="CV402">
            <v>3</v>
          </cell>
        </row>
        <row r="403">
          <cell r="CV403">
            <v>4</v>
          </cell>
        </row>
        <row r="404">
          <cell r="CV404">
            <v>3</v>
          </cell>
        </row>
        <row r="405">
          <cell r="CV405">
            <v>3</v>
          </cell>
        </row>
        <row r="406">
          <cell r="CV406">
            <v>2</v>
          </cell>
        </row>
        <row r="407">
          <cell r="CV407">
            <v>2</v>
          </cell>
        </row>
        <row r="408">
          <cell r="CV408">
            <v>3</v>
          </cell>
        </row>
        <row r="409">
          <cell r="CV409">
            <v>2</v>
          </cell>
        </row>
        <row r="410">
          <cell r="CV410">
            <v>2</v>
          </cell>
        </row>
        <row r="411">
          <cell r="CV411">
            <v>3</v>
          </cell>
        </row>
        <row r="412">
          <cell r="CV412">
            <v>2</v>
          </cell>
        </row>
        <row r="413">
          <cell r="CV413">
            <v>2</v>
          </cell>
        </row>
        <row r="414">
          <cell r="CV414">
            <v>1</v>
          </cell>
        </row>
        <row r="415">
          <cell r="CV415">
            <v>2</v>
          </cell>
        </row>
        <row r="416">
          <cell r="CV416">
            <v>3</v>
          </cell>
        </row>
        <row r="417">
          <cell r="CV417">
            <v>5</v>
          </cell>
        </row>
        <row r="418">
          <cell r="CV418">
            <v>2</v>
          </cell>
        </row>
        <row r="419">
          <cell r="CV419">
            <v>2</v>
          </cell>
        </row>
        <row r="420">
          <cell r="CV420">
            <v>3</v>
          </cell>
        </row>
        <row r="421">
          <cell r="CV421">
            <v>3</v>
          </cell>
        </row>
        <row r="422">
          <cell r="CV422">
            <v>4</v>
          </cell>
        </row>
        <row r="423">
          <cell r="CV423">
            <v>5</v>
          </cell>
        </row>
        <row r="424">
          <cell r="CV424">
            <v>2</v>
          </cell>
        </row>
        <row r="425">
          <cell r="CV425">
            <v>3</v>
          </cell>
        </row>
        <row r="426">
          <cell r="CV426">
            <v>2</v>
          </cell>
        </row>
        <row r="427">
          <cell r="CV427">
            <v>2</v>
          </cell>
        </row>
        <row r="428">
          <cell r="CV428">
            <v>5</v>
          </cell>
        </row>
        <row r="429">
          <cell r="CV429">
            <v>4</v>
          </cell>
        </row>
        <row r="430">
          <cell r="CV430">
            <v>2</v>
          </cell>
        </row>
        <row r="431">
          <cell r="CV431">
            <v>3</v>
          </cell>
        </row>
        <row r="432">
          <cell r="CV432">
            <v>3</v>
          </cell>
        </row>
        <row r="433">
          <cell r="CV433">
            <v>3</v>
          </cell>
        </row>
        <row r="434">
          <cell r="CV434">
            <v>2</v>
          </cell>
        </row>
        <row r="435">
          <cell r="CV435">
            <v>1</v>
          </cell>
        </row>
        <row r="436">
          <cell r="CV436">
            <v>2</v>
          </cell>
        </row>
        <row r="437">
          <cell r="CV437">
            <v>4</v>
          </cell>
        </row>
        <row r="438">
          <cell r="CV438">
            <v>4</v>
          </cell>
        </row>
        <row r="439">
          <cell r="CV439">
            <v>4</v>
          </cell>
        </row>
        <row r="440">
          <cell r="CV440">
            <v>2</v>
          </cell>
        </row>
        <row r="441">
          <cell r="CV441">
            <v>3</v>
          </cell>
        </row>
        <row r="442">
          <cell r="CV442">
            <v>1</v>
          </cell>
        </row>
        <row r="443">
          <cell r="CV443">
            <v>4</v>
          </cell>
        </row>
        <row r="444">
          <cell r="CV444">
            <v>3</v>
          </cell>
        </row>
        <row r="445">
          <cell r="CV445">
            <v>3</v>
          </cell>
        </row>
        <row r="446">
          <cell r="CV446">
            <v>2</v>
          </cell>
        </row>
        <row r="447">
          <cell r="CV447">
            <v>2</v>
          </cell>
        </row>
        <row r="448">
          <cell r="CV448">
            <v>2</v>
          </cell>
        </row>
        <row r="449">
          <cell r="CV449">
            <v>1</v>
          </cell>
        </row>
        <row r="450">
          <cell r="CV450">
            <v>2</v>
          </cell>
        </row>
        <row r="451">
          <cell r="CV451">
            <v>2</v>
          </cell>
        </row>
        <row r="452">
          <cell r="CV452">
            <v>3</v>
          </cell>
        </row>
        <row r="453">
          <cell r="CV453">
            <v>3</v>
          </cell>
        </row>
        <row r="454">
          <cell r="CV454">
            <v>3</v>
          </cell>
        </row>
        <row r="455">
          <cell r="CV455">
            <v>3</v>
          </cell>
        </row>
        <row r="456">
          <cell r="CV456">
            <v>2</v>
          </cell>
        </row>
        <row r="457">
          <cell r="CV457">
            <v>3</v>
          </cell>
        </row>
        <row r="458">
          <cell r="CV458">
            <v>2</v>
          </cell>
        </row>
        <row r="459">
          <cell r="CV459">
            <v>3</v>
          </cell>
        </row>
        <row r="460">
          <cell r="CV460">
            <v>2</v>
          </cell>
        </row>
        <row r="461">
          <cell r="CV461">
            <v>3</v>
          </cell>
        </row>
        <row r="462">
          <cell r="CV462">
            <v>3</v>
          </cell>
        </row>
        <row r="463">
          <cell r="CV463">
            <v>3</v>
          </cell>
        </row>
        <row r="464">
          <cell r="CV464">
            <v>3</v>
          </cell>
        </row>
        <row r="465">
          <cell r="CV465">
            <v>5</v>
          </cell>
        </row>
        <row r="466">
          <cell r="CV466">
            <v>3</v>
          </cell>
        </row>
        <row r="467">
          <cell r="CV467">
            <v>2</v>
          </cell>
        </row>
        <row r="468">
          <cell r="CV468">
            <v>5</v>
          </cell>
        </row>
        <row r="469">
          <cell r="CV469">
            <v>5</v>
          </cell>
        </row>
        <row r="470">
          <cell r="CV470">
            <v>3</v>
          </cell>
        </row>
        <row r="471">
          <cell r="CV471">
            <v>3</v>
          </cell>
        </row>
        <row r="472">
          <cell r="CV472">
            <v>3</v>
          </cell>
        </row>
        <row r="473">
          <cell r="CV473">
            <v>2</v>
          </cell>
        </row>
        <row r="474">
          <cell r="CV474">
            <v>2</v>
          </cell>
        </row>
        <row r="475">
          <cell r="CV475">
            <v>1</v>
          </cell>
        </row>
        <row r="476">
          <cell r="CV476">
            <v>2</v>
          </cell>
        </row>
        <row r="477">
          <cell r="CV477">
            <v>2</v>
          </cell>
        </row>
        <row r="478">
          <cell r="CV478">
            <v>4</v>
          </cell>
        </row>
        <row r="479">
          <cell r="CV479">
            <v>2</v>
          </cell>
        </row>
        <row r="480">
          <cell r="CV480">
            <v>3</v>
          </cell>
        </row>
        <row r="481">
          <cell r="CV481">
            <v>5</v>
          </cell>
        </row>
        <row r="482">
          <cell r="CV482">
            <v>3</v>
          </cell>
        </row>
        <row r="483">
          <cell r="CV483">
            <v>5</v>
          </cell>
        </row>
        <row r="484">
          <cell r="CV484">
            <v>3</v>
          </cell>
        </row>
        <row r="485">
          <cell r="CV485">
            <v>2</v>
          </cell>
        </row>
        <row r="486">
          <cell r="CV486">
            <v>3</v>
          </cell>
        </row>
        <row r="487">
          <cell r="CV487">
            <v>5</v>
          </cell>
        </row>
        <row r="488">
          <cell r="CV488">
            <v>3</v>
          </cell>
        </row>
        <row r="489">
          <cell r="CV489">
            <v>2</v>
          </cell>
        </row>
        <row r="490">
          <cell r="CV490">
            <v>3</v>
          </cell>
        </row>
        <row r="491">
          <cell r="CV491">
            <v>2</v>
          </cell>
        </row>
        <row r="492">
          <cell r="CV492">
            <v>2</v>
          </cell>
        </row>
        <row r="493">
          <cell r="CV493">
            <v>3</v>
          </cell>
        </row>
        <row r="494">
          <cell r="CV494">
            <v>3</v>
          </cell>
        </row>
        <row r="495">
          <cell r="CV495">
            <v>1</v>
          </cell>
        </row>
        <row r="496">
          <cell r="CV496">
            <v>3</v>
          </cell>
        </row>
        <row r="497">
          <cell r="CV497">
            <v>2</v>
          </cell>
        </row>
        <row r="498">
          <cell r="CV498">
            <v>2</v>
          </cell>
        </row>
        <row r="499">
          <cell r="CV499">
            <v>2</v>
          </cell>
        </row>
        <row r="500">
          <cell r="CV500">
            <v>3</v>
          </cell>
        </row>
        <row r="501">
          <cell r="CV501">
            <v>2</v>
          </cell>
        </row>
        <row r="502">
          <cell r="CV502">
            <v>2</v>
          </cell>
        </row>
        <row r="503">
          <cell r="CV503">
            <v>3</v>
          </cell>
        </row>
        <row r="504">
          <cell r="CV504">
            <v>3</v>
          </cell>
        </row>
        <row r="505">
          <cell r="CV505">
            <v>3</v>
          </cell>
        </row>
        <row r="506">
          <cell r="CV506">
            <v>3</v>
          </cell>
        </row>
        <row r="507">
          <cell r="CV507">
            <v>4</v>
          </cell>
        </row>
        <row r="508">
          <cell r="CV508">
            <v>2</v>
          </cell>
        </row>
        <row r="509">
          <cell r="CV509">
            <v>3</v>
          </cell>
        </row>
        <row r="510">
          <cell r="CV510">
            <v>1</v>
          </cell>
        </row>
        <row r="511">
          <cell r="CV511">
            <v>3</v>
          </cell>
        </row>
        <row r="512">
          <cell r="CV512">
            <v>2</v>
          </cell>
        </row>
        <row r="513">
          <cell r="CV513">
            <v>5</v>
          </cell>
        </row>
        <row r="514">
          <cell r="CV514">
            <v>2</v>
          </cell>
        </row>
        <row r="515">
          <cell r="CV515">
            <v>1</v>
          </cell>
        </row>
        <row r="516">
          <cell r="CV516">
            <v>2</v>
          </cell>
        </row>
        <row r="517">
          <cell r="CV517">
            <v>2</v>
          </cell>
        </row>
        <row r="518">
          <cell r="CV518">
            <v>3</v>
          </cell>
        </row>
        <row r="519">
          <cell r="CV519">
            <v>2</v>
          </cell>
        </row>
        <row r="520">
          <cell r="CV520">
            <v>3</v>
          </cell>
        </row>
        <row r="521">
          <cell r="CV521">
            <v>1</v>
          </cell>
        </row>
        <row r="522">
          <cell r="CV522">
            <v>4</v>
          </cell>
        </row>
        <row r="523">
          <cell r="CV523">
            <v>1</v>
          </cell>
        </row>
        <row r="524">
          <cell r="CV524">
            <v>3</v>
          </cell>
        </row>
        <row r="525">
          <cell r="CV525">
            <v>2</v>
          </cell>
        </row>
        <row r="526">
          <cell r="CV526">
            <v>5</v>
          </cell>
        </row>
        <row r="527">
          <cell r="CV527">
            <v>5</v>
          </cell>
        </row>
        <row r="528">
          <cell r="CV528">
            <v>3</v>
          </cell>
        </row>
        <row r="529">
          <cell r="CV529">
            <v>5</v>
          </cell>
        </row>
        <row r="530">
          <cell r="CV530">
            <v>5</v>
          </cell>
        </row>
        <row r="531">
          <cell r="CV531">
            <v>4</v>
          </cell>
        </row>
        <row r="532">
          <cell r="CV532">
            <v>3</v>
          </cell>
        </row>
        <row r="533">
          <cell r="CV533">
            <v>3</v>
          </cell>
        </row>
        <row r="534">
          <cell r="CV534">
            <v>2</v>
          </cell>
        </row>
        <row r="535">
          <cell r="CV535">
            <v>3</v>
          </cell>
        </row>
        <row r="536">
          <cell r="CV536">
            <v>3</v>
          </cell>
        </row>
        <row r="537">
          <cell r="CV537">
            <v>5</v>
          </cell>
        </row>
        <row r="538">
          <cell r="CV538">
            <v>3</v>
          </cell>
        </row>
        <row r="539">
          <cell r="CV539">
            <v>3</v>
          </cell>
        </row>
        <row r="540">
          <cell r="CV540">
            <v>2</v>
          </cell>
        </row>
        <row r="541">
          <cell r="CV541">
            <v>3</v>
          </cell>
        </row>
        <row r="542">
          <cell r="CV542">
            <v>2</v>
          </cell>
        </row>
        <row r="543">
          <cell r="CV543">
            <v>2</v>
          </cell>
        </row>
        <row r="544">
          <cell r="CV544">
            <v>2</v>
          </cell>
        </row>
        <row r="545">
          <cell r="CV545">
            <v>3</v>
          </cell>
        </row>
        <row r="546">
          <cell r="CV546">
            <v>3</v>
          </cell>
        </row>
        <row r="547">
          <cell r="CV547">
            <v>2</v>
          </cell>
        </row>
        <row r="548">
          <cell r="CV548">
            <v>1</v>
          </cell>
        </row>
        <row r="549">
          <cell r="CV549">
            <v>1</v>
          </cell>
        </row>
        <row r="550">
          <cell r="CV550">
            <v>2</v>
          </cell>
        </row>
        <row r="551">
          <cell r="CV551">
            <v>3</v>
          </cell>
        </row>
        <row r="552">
          <cell r="CV552">
            <v>2</v>
          </cell>
        </row>
        <row r="553">
          <cell r="CV553">
            <v>4</v>
          </cell>
        </row>
        <row r="554">
          <cell r="CV554">
            <v>3</v>
          </cell>
        </row>
        <row r="555">
          <cell r="CV555">
            <v>3</v>
          </cell>
        </row>
        <row r="556">
          <cell r="CV556">
            <v>1</v>
          </cell>
        </row>
        <row r="557">
          <cell r="CV557">
            <v>1</v>
          </cell>
        </row>
        <row r="558">
          <cell r="CV558">
            <v>3</v>
          </cell>
        </row>
        <row r="559">
          <cell r="CV559">
            <v>5</v>
          </cell>
        </row>
        <row r="560">
          <cell r="CV560">
            <v>3</v>
          </cell>
        </row>
        <row r="561">
          <cell r="CV561">
            <v>1</v>
          </cell>
        </row>
        <row r="562">
          <cell r="CV562">
            <v>4</v>
          </cell>
        </row>
        <row r="563">
          <cell r="CV563">
            <v>1</v>
          </cell>
        </row>
        <row r="564">
          <cell r="CV564">
            <v>3</v>
          </cell>
        </row>
        <row r="565">
          <cell r="CV565">
            <v>2</v>
          </cell>
        </row>
        <row r="566">
          <cell r="CV566">
            <v>3</v>
          </cell>
        </row>
        <row r="567">
          <cell r="CV567">
            <v>3</v>
          </cell>
        </row>
        <row r="568">
          <cell r="CV568">
            <v>3</v>
          </cell>
        </row>
        <row r="569">
          <cell r="CV569">
            <v>3</v>
          </cell>
        </row>
        <row r="570">
          <cell r="CV570">
            <v>2</v>
          </cell>
        </row>
        <row r="571">
          <cell r="CV571">
            <v>3</v>
          </cell>
        </row>
        <row r="572">
          <cell r="CV572">
            <v>2</v>
          </cell>
        </row>
        <row r="573">
          <cell r="CV573">
            <v>4</v>
          </cell>
        </row>
        <row r="574">
          <cell r="CV574">
            <v>2</v>
          </cell>
        </row>
        <row r="575">
          <cell r="CV575">
            <v>2</v>
          </cell>
        </row>
        <row r="576">
          <cell r="CV576">
            <v>1</v>
          </cell>
        </row>
        <row r="577">
          <cell r="CV577">
            <v>5</v>
          </cell>
        </row>
        <row r="578">
          <cell r="CV578">
            <v>3</v>
          </cell>
        </row>
        <row r="579">
          <cell r="CV579">
            <v>3</v>
          </cell>
        </row>
        <row r="580">
          <cell r="CV580">
            <v>3</v>
          </cell>
        </row>
        <row r="581">
          <cell r="CV581">
            <v>2</v>
          </cell>
        </row>
        <row r="582">
          <cell r="CV582">
            <v>5</v>
          </cell>
        </row>
        <row r="583">
          <cell r="CV583">
            <v>3</v>
          </cell>
        </row>
        <row r="584">
          <cell r="CV584">
            <v>2</v>
          </cell>
        </row>
        <row r="585">
          <cell r="CV585">
            <v>3</v>
          </cell>
        </row>
        <row r="586">
          <cell r="CV586">
            <v>2</v>
          </cell>
        </row>
        <row r="587">
          <cell r="CV587">
            <v>4</v>
          </cell>
        </row>
        <row r="588">
          <cell r="CV588">
            <v>3</v>
          </cell>
        </row>
        <row r="589">
          <cell r="CV589">
            <v>2</v>
          </cell>
        </row>
        <row r="590">
          <cell r="CV590">
            <v>4</v>
          </cell>
        </row>
        <row r="591">
          <cell r="CV591">
            <v>2</v>
          </cell>
        </row>
        <row r="592">
          <cell r="CV592">
            <v>5</v>
          </cell>
        </row>
        <row r="593">
          <cell r="CV593">
            <v>1</v>
          </cell>
        </row>
        <row r="594">
          <cell r="CV594">
            <v>3</v>
          </cell>
        </row>
        <row r="595">
          <cell r="CV595">
            <v>3</v>
          </cell>
        </row>
        <row r="596">
          <cell r="CV596">
            <v>1</v>
          </cell>
        </row>
        <row r="597">
          <cell r="CV597">
            <v>3</v>
          </cell>
        </row>
        <row r="598">
          <cell r="CV598">
            <v>2</v>
          </cell>
        </row>
        <row r="599">
          <cell r="CV599">
            <v>3</v>
          </cell>
        </row>
        <row r="600">
          <cell r="CV600">
            <v>2</v>
          </cell>
        </row>
        <row r="601">
          <cell r="CV601">
            <v>2</v>
          </cell>
        </row>
        <row r="602">
          <cell r="CV602">
            <v>2</v>
          </cell>
        </row>
        <row r="603">
          <cell r="CV603">
            <v>2</v>
          </cell>
        </row>
        <row r="604">
          <cell r="CV604">
            <v>2</v>
          </cell>
        </row>
        <row r="605">
          <cell r="CV605">
            <v>3</v>
          </cell>
        </row>
        <row r="606">
          <cell r="CV606">
            <v>3</v>
          </cell>
        </row>
        <row r="607">
          <cell r="CV607">
            <v>2</v>
          </cell>
        </row>
        <row r="608">
          <cell r="CV608">
            <v>2</v>
          </cell>
        </row>
        <row r="609">
          <cell r="CV609">
            <v>3</v>
          </cell>
        </row>
        <row r="610">
          <cell r="CV610">
            <v>5</v>
          </cell>
        </row>
        <row r="611">
          <cell r="CV611">
            <v>1</v>
          </cell>
        </row>
        <row r="612">
          <cell r="CV612">
            <v>3</v>
          </cell>
        </row>
        <row r="613">
          <cell r="CV613">
            <v>2</v>
          </cell>
        </row>
        <row r="614">
          <cell r="CV614">
            <v>2</v>
          </cell>
        </row>
        <row r="615">
          <cell r="CV615">
            <v>2</v>
          </cell>
        </row>
        <row r="616">
          <cell r="CV616">
            <v>3</v>
          </cell>
        </row>
        <row r="617">
          <cell r="CV617">
            <v>3</v>
          </cell>
        </row>
        <row r="618">
          <cell r="CV618">
            <v>3</v>
          </cell>
        </row>
        <row r="619">
          <cell r="CV619">
            <v>1</v>
          </cell>
        </row>
        <row r="620">
          <cell r="CV620">
            <v>3</v>
          </cell>
        </row>
        <row r="621">
          <cell r="CV621">
            <v>2</v>
          </cell>
        </row>
        <row r="622">
          <cell r="CV622">
            <v>2</v>
          </cell>
        </row>
        <row r="623">
          <cell r="CV623">
            <v>2</v>
          </cell>
        </row>
        <row r="624">
          <cell r="CV624">
            <v>3</v>
          </cell>
        </row>
        <row r="625">
          <cell r="CV625">
            <v>2</v>
          </cell>
        </row>
        <row r="626">
          <cell r="CV626">
            <v>5</v>
          </cell>
        </row>
        <row r="627">
          <cell r="CV627">
            <v>1</v>
          </cell>
        </row>
        <row r="628">
          <cell r="CV628">
            <v>3</v>
          </cell>
        </row>
        <row r="629">
          <cell r="CV629">
            <v>3</v>
          </cell>
        </row>
        <row r="630">
          <cell r="CV630">
            <v>2</v>
          </cell>
        </row>
        <row r="631">
          <cell r="CV631">
            <v>2</v>
          </cell>
        </row>
        <row r="632">
          <cell r="CV632">
            <v>3</v>
          </cell>
        </row>
        <row r="633">
          <cell r="CV633">
            <v>3</v>
          </cell>
        </row>
        <row r="634">
          <cell r="CV634">
            <v>2</v>
          </cell>
        </row>
        <row r="635">
          <cell r="CV635">
            <v>3</v>
          </cell>
        </row>
        <row r="636">
          <cell r="CV636">
            <v>2</v>
          </cell>
        </row>
        <row r="637">
          <cell r="CV637">
            <v>3</v>
          </cell>
        </row>
        <row r="638">
          <cell r="CV638">
            <v>2</v>
          </cell>
        </row>
        <row r="639">
          <cell r="CV639">
            <v>2</v>
          </cell>
        </row>
        <row r="640">
          <cell r="CV640">
            <v>3</v>
          </cell>
        </row>
        <row r="641">
          <cell r="CV641">
            <v>3</v>
          </cell>
        </row>
        <row r="642">
          <cell r="CV642">
            <v>2</v>
          </cell>
        </row>
        <row r="643">
          <cell r="CV643">
            <v>5</v>
          </cell>
        </row>
        <row r="644">
          <cell r="CV644">
            <v>3</v>
          </cell>
        </row>
        <row r="645">
          <cell r="CV645">
            <v>5</v>
          </cell>
        </row>
        <row r="646">
          <cell r="CV646">
            <v>2</v>
          </cell>
        </row>
        <row r="647">
          <cell r="CV647">
            <v>3</v>
          </cell>
        </row>
        <row r="648">
          <cell r="CV648">
            <v>3</v>
          </cell>
        </row>
        <row r="649">
          <cell r="CV649">
            <v>2</v>
          </cell>
        </row>
        <row r="650">
          <cell r="CV650">
            <v>2</v>
          </cell>
        </row>
        <row r="651">
          <cell r="CV651">
            <v>1</v>
          </cell>
        </row>
        <row r="652">
          <cell r="CV652">
            <v>2</v>
          </cell>
        </row>
        <row r="653">
          <cell r="CV653">
            <v>2</v>
          </cell>
        </row>
        <row r="654">
          <cell r="CV654">
            <v>1</v>
          </cell>
        </row>
        <row r="655">
          <cell r="CV655">
            <v>1</v>
          </cell>
        </row>
        <row r="656">
          <cell r="CV656">
            <v>5</v>
          </cell>
        </row>
        <row r="657">
          <cell r="CV657">
            <v>3</v>
          </cell>
        </row>
        <row r="658">
          <cell r="CV658">
            <v>2</v>
          </cell>
        </row>
        <row r="659">
          <cell r="CV659">
            <v>5</v>
          </cell>
        </row>
        <row r="660">
          <cell r="CV660">
            <v>5</v>
          </cell>
        </row>
        <row r="661">
          <cell r="CV661">
            <v>4</v>
          </cell>
        </row>
        <row r="662">
          <cell r="CV662">
            <v>3</v>
          </cell>
        </row>
        <row r="663">
          <cell r="CV663">
            <v>2</v>
          </cell>
        </row>
        <row r="664">
          <cell r="CV664">
            <v>3</v>
          </cell>
        </row>
        <row r="665">
          <cell r="CV665">
            <v>2</v>
          </cell>
        </row>
        <row r="666">
          <cell r="CV666">
            <v>1</v>
          </cell>
        </row>
        <row r="667">
          <cell r="CV667">
            <v>2</v>
          </cell>
        </row>
        <row r="668">
          <cell r="CV668">
            <v>3</v>
          </cell>
        </row>
        <row r="669">
          <cell r="CV669">
            <v>5</v>
          </cell>
        </row>
        <row r="670">
          <cell r="CV670">
            <v>1</v>
          </cell>
        </row>
        <row r="671">
          <cell r="CV671">
            <v>2</v>
          </cell>
        </row>
        <row r="672">
          <cell r="CV672">
            <v>2</v>
          </cell>
        </row>
        <row r="673">
          <cell r="CV673">
            <v>4</v>
          </cell>
        </row>
        <row r="674">
          <cell r="CV674">
            <v>3</v>
          </cell>
        </row>
        <row r="675">
          <cell r="CV675">
            <v>4</v>
          </cell>
        </row>
        <row r="676">
          <cell r="CV676">
            <v>1</v>
          </cell>
        </row>
        <row r="677">
          <cell r="CV677">
            <v>4</v>
          </cell>
        </row>
        <row r="678">
          <cell r="CV678">
            <v>2</v>
          </cell>
        </row>
        <row r="679">
          <cell r="CV679">
            <v>3</v>
          </cell>
        </row>
        <row r="680">
          <cell r="CV680">
            <v>2</v>
          </cell>
        </row>
        <row r="681">
          <cell r="CV681">
            <v>2</v>
          </cell>
        </row>
        <row r="682">
          <cell r="CV682">
            <v>2</v>
          </cell>
        </row>
        <row r="683">
          <cell r="CV683">
            <v>1</v>
          </cell>
        </row>
        <row r="684">
          <cell r="CV684">
            <v>4</v>
          </cell>
        </row>
        <row r="685">
          <cell r="CV685">
            <v>2</v>
          </cell>
        </row>
        <row r="686">
          <cell r="CV686">
            <v>3</v>
          </cell>
        </row>
        <row r="687">
          <cell r="CV687">
            <v>1</v>
          </cell>
        </row>
        <row r="688">
          <cell r="CV688">
            <v>2</v>
          </cell>
        </row>
        <row r="689">
          <cell r="CV689">
            <v>2</v>
          </cell>
        </row>
        <row r="690">
          <cell r="CV690">
            <v>5</v>
          </cell>
        </row>
        <row r="691">
          <cell r="CV691">
            <v>3</v>
          </cell>
        </row>
        <row r="692">
          <cell r="CV692">
            <v>2</v>
          </cell>
        </row>
        <row r="693">
          <cell r="CV693">
            <v>2</v>
          </cell>
        </row>
        <row r="694">
          <cell r="CV694">
            <v>3</v>
          </cell>
        </row>
        <row r="695">
          <cell r="CV695">
            <v>3</v>
          </cell>
        </row>
        <row r="696">
          <cell r="CV696">
            <v>2</v>
          </cell>
        </row>
        <row r="697">
          <cell r="CV697">
            <v>2</v>
          </cell>
        </row>
        <row r="698">
          <cell r="CV698">
            <v>2</v>
          </cell>
        </row>
        <row r="699">
          <cell r="CV699">
            <v>2</v>
          </cell>
        </row>
        <row r="700">
          <cell r="CV700">
            <v>2</v>
          </cell>
        </row>
        <row r="701">
          <cell r="CV701">
            <v>4</v>
          </cell>
        </row>
        <row r="702">
          <cell r="CV702">
            <v>4</v>
          </cell>
        </row>
        <row r="703">
          <cell r="CV703">
            <v>2</v>
          </cell>
        </row>
        <row r="704">
          <cell r="CV704">
            <v>3</v>
          </cell>
        </row>
        <row r="705">
          <cell r="CV705">
            <v>2</v>
          </cell>
        </row>
        <row r="706">
          <cell r="CV706">
            <v>2</v>
          </cell>
        </row>
        <row r="707">
          <cell r="CV707">
            <v>5</v>
          </cell>
        </row>
        <row r="708">
          <cell r="CV708">
            <v>3</v>
          </cell>
        </row>
        <row r="709">
          <cell r="CV709">
            <v>2</v>
          </cell>
        </row>
        <row r="710">
          <cell r="CV710">
            <v>2</v>
          </cell>
        </row>
        <row r="711">
          <cell r="CV711">
            <v>2</v>
          </cell>
        </row>
        <row r="712">
          <cell r="CV712">
            <v>5</v>
          </cell>
        </row>
        <row r="713">
          <cell r="CV713">
            <v>2</v>
          </cell>
        </row>
        <row r="714">
          <cell r="CV714">
            <v>1</v>
          </cell>
        </row>
        <row r="715">
          <cell r="CV715">
            <v>3</v>
          </cell>
        </row>
        <row r="716">
          <cell r="CV716">
            <v>3</v>
          </cell>
        </row>
        <row r="717">
          <cell r="CV717">
            <v>2</v>
          </cell>
        </row>
        <row r="718">
          <cell r="CV718">
            <v>2</v>
          </cell>
        </row>
        <row r="719">
          <cell r="CV719">
            <v>2</v>
          </cell>
        </row>
        <row r="720">
          <cell r="CV720">
            <v>2</v>
          </cell>
        </row>
        <row r="721">
          <cell r="CV721">
            <v>1</v>
          </cell>
        </row>
        <row r="722">
          <cell r="CV722">
            <v>3</v>
          </cell>
        </row>
        <row r="723">
          <cell r="CV723">
            <v>3</v>
          </cell>
        </row>
        <row r="724">
          <cell r="CV724">
            <v>3</v>
          </cell>
        </row>
        <row r="725">
          <cell r="CV725">
            <v>5</v>
          </cell>
        </row>
        <row r="726">
          <cell r="CV726">
            <v>2</v>
          </cell>
        </row>
        <row r="727">
          <cell r="CV727">
            <v>2</v>
          </cell>
        </row>
        <row r="728">
          <cell r="CV728">
            <v>2</v>
          </cell>
        </row>
        <row r="729">
          <cell r="CV729">
            <v>2</v>
          </cell>
        </row>
        <row r="730">
          <cell r="CV730">
            <v>3</v>
          </cell>
        </row>
        <row r="731">
          <cell r="CV731">
            <v>2</v>
          </cell>
        </row>
        <row r="732">
          <cell r="CV732">
            <v>5</v>
          </cell>
        </row>
        <row r="733">
          <cell r="CV733">
            <v>2</v>
          </cell>
        </row>
        <row r="734">
          <cell r="CV734">
            <v>2</v>
          </cell>
        </row>
        <row r="735">
          <cell r="CV735">
            <v>3</v>
          </cell>
        </row>
        <row r="736">
          <cell r="CV736">
            <v>2</v>
          </cell>
        </row>
        <row r="737">
          <cell r="CV737">
            <v>3</v>
          </cell>
        </row>
        <row r="738">
          <cell r="CV738">
            <v>3</v>
          </cell>
        </row>
        <row r="739">
          <cell r="CV739">
            <v>2</v>
          </cell>
        </row>
        <row r="740">
          <cell r="CV740">
            <v>3</v>
          </cell>
        </row>
        <row r="741">
          <cell r="CV741">
            <v>5</v>
          </cell>
        </row>
        <row r="742">
          <cell r="CV742">
            <v>3</v>
          </cell>
        </row>
        <row r="743">
          <cell r="CV743">
            <v>5</v>
          </cell>
        </row>
        <row r="744">
          <cell r="CV744">
            <v>2</v>
          </cell>
        </row>
        <row r="745">
          <cell r="CV745">
            <v>2</v>
          </cell>
        </row>
        <row r="746">
          <cell r="CV746">
            <v>4</v>
          </cell>
        </row>
        <row r="747">
          <cell r="CV747">
            <v>3</v>
          </cell>
        </row>
        <row r="748">
          <cell r="CV748">
            <v>4</v>
          </cell>
        </row>
        <row r="749">
          <cell r="CV749">
            <v>3</v>
          </cell>
        </row>
        <row r="750">
          <cell r="CV750">
            <v>1</v>
          </cell>
        </row>
        <row r="751">
          <cell r="CV751">
            <v>2</v>
          </cell>
        </row>
        <row r="752">
          <cell r="CV752">
            <v>2</v>
          </cell>
        </row>
        <row r="753">
          <cell r="CV753">
            <v>2</v>
          </cell>
        </row>
        <row r="754">
          <cell r="CV754">
            <v>1</v>
          </cell>
        </row>
        <row r="755">
          <cell r="CV755">
            <v>5</v>
          </cell>
        </row>
        <row r="756">
          <cell r="CV756">
            <v>3</v>
          </cell>
        </row>
        <row r="757">
          <cell r="CV757">
            <v>3</v>
          </cell>
        </row>
        <row r="758">
          <cell r="CV758">
            <v>3</v>
          </cell>
        </row>
        <row r="759">
          <cell r="CV759">
            <v>2</v>
          </cell>
        </row>
        <row r="760">
          <cell r="CV760">
            <v>3</v>
          </cell>
        </row>
        <row r="761">
          <cell r="CV761">
            <v>2</v>
          </cell>
        </row>
        <row r="762">
          <cell r="CV762">
            <v>3</v>
          </cell>
        </row>
        <row r="763">
          <cell r="CV763">
            <v>2</v>
          </cell>
        </row>
        <row r="764">
          <cell r="CV764">
            <v>2</v>
          </cell>
        </row>
        <row r="765">
          <cell r="CV765">
            <v>3</v>
          </cell>
        </row>
        <row r="766">
          <cell r="CV766">
            <v>4</v>
          </cell>
        </row>
        <row r="767">
          <cell r="CV767">
            <v>2</v>
          </cell>
        </row>
        <row r="768">
          <cell r="CV768">
            <v>4</v>
          </cell>
        </row>
        <row r="769">
          <cell r="CV769">
            <v>4</v>
          </cell>
        </row>
        <row r="770">
          <cell r="CV770">
            <v>1</v>
          </cell>
        </row>
        <row r="771">
          <cell r="CV771">
            <v>2</v>
          </cell>
        </row>
        <row r="772">
          <cell r="CV772">
            <v>2</v>
          </cell>
        </row>
        <row r="773">
          <cell r="CV773">
            <v>5</v>
          </cell>
        </row>
        <row r="774">
          <cell r="CV774">
            <v>2</v>
          </cell>
        </row>
        <row r="775">
          <cell r="CV775">
            <v>2</v>
          </cell>
        </row>
        <row r="776">
          <cell r="CV776">
            <v>3</v>
          </cell>
        </row>
        <row r="777">
          <cell r="CV777">
            <v>4</v>
          </cell>
        </row>
        <row r="778">
          <cell r="CV778">
            <v>2</v>
          </cell>
        </row>
        <row r="779">
          <cell r="CV779">
            <v>2</v>
          </cell>
        </row>
        <row r="780">
          <cell r="CV780">
            <v>2</v>
          </cell>
        </row>
        <row r="781">
          <cell r="CV781">
            <v>3</v>
          </cell>
        </row>
        <row r="782">
          <cell r="CV782">
            <v>3</v>
          </cell>
        </row>
        <row r="783">
          <cell r="CV783">
            <v>3</v>
          </cell>
        </row>
        <row r="784">
          <cell r="CV784">
            <v>2</v>
          </cell>
        </row>
        <row r="785">
          <cell r="CV785">
            <v>2</v>
          </cell>
        </row>
        <row r="786">
          <cell r="CV786">
            <v>2</v>
          </cell>
        </row>
        <row r="787">
          <cell r="CV787">
            <v>3</v>
          </cell>
        </row>
        <row r="788">
          <cell r="CV788">
            <v>3</v>
          </cell>
        </row>
        <row r="789">
          <cell r="CV789">
            <v>2</v>
          </cell>
        </row>
        <row r="790">
          <cell r="CV790">
            <v>2</v>
          </cell>
        </row>
        <row r="791">
          <cell r="CV791">
            <v>2</v>
          </cell>
        </row>
        <row r="792">
          <cell r="CV792">
            <v>2</v>
          </cell>
        </row>
        <row r="793">
          <cell r="CV793">
            <v>4</v>
          </cell>
        </row>
        <row r="794">
          <cell r="CV794">
            <v>3</v>
          </cell>
        </row>
        <row r="795">
          <cell r="CV795">
            <v>2</v>
          </cell>
        </row>
        <row r="796">
          <cell r="CV796">
            <v>3</v>
          </cell>
        </row>
        <row r="797">
          <cell r="CV797">
            <v>2</v>
          </cell>
        </row>
        <row r="798">
          <cell r="CV798">
            <v>4</v>
          </cell>
        </row>
        <row r="799">
          <cell r="CV799">
            <v>3</v>
          </cell>
        </row>
        <row r="800">
          <cell r="CV800">
            <v>3</v>
          </cell>
        </row>
        <row r="801">
          <cell r="CV801">
            <v>4</v>
          </cell>
        </row>
        <row r="802">
          <cell r="CV802">
            <v>2</v>
          </cell>
        </row>
        <row r="803">
          <cell r="CV803">
            <v>2</v>
          </cell>
        </row>
        <row r="804">
          <cell r="CV804">
            <v>2</v>
          </cell>
        </row>
        <row r="805">
          <cell r="CV805">
            <v>3</v>
          </cell>
        </row>
        <row r="806">
          <cell r="CV806">
            <v>3</v>
          </cell>
        </row>
        <row r="807">
          <cell r="CV807">
            <v>2</v>
          </cell>
        </row>
        <row r="808">
          <cell r="CV808">
            <v>2</v>
          </cell>
        </row>
        <row r="809">
          <cell r="CV809">
            <v>3</v>
          </cell>
        </row>
        <row r="810">
          <cell r="CV810">
            <v>2</v>
          </cell>
        </row>
        <row r="811">
          <cell r="CV811">
            <v>3</v>
          </cell>
        </row>
        <row r="812">
          <cell r="CV812">
            <v>2</v>
          </cell>
        </row>
        <row r="813">
          <cell r="CV813">
            <v>1</v>
          </cell>
        </row>
        <row r="814">
          <cell r="CV814">
            <v>1</v>
          </cell>
        </row>
        <row r="815">
          <cell r="CV815">
            <v>4</v>
          </cell>
        </row>
        <row r="816">
          <cell r="CV816">
            <v>3</v>
          </cell>
        </row>
        <row r="817">
          <cell r="CV817">
            <v>3</v>
          </cell>
        </row>
        <row r="818">
          <cell r="CV818">
            <v>2</v>
          </cell>
        </row>
        <row r="819">
          <cell r="CV819">
            <v>2</v>
          </cell>
        </row>
        <row r="820">
          <cell r="CV820">
            <v>2</v>
          </cell>
        </row>
        <row r="821">
          <cell r="CV821">
            <v>2</v>
          </cell>
        </row>
        <row r="822">
          <cell r="CV822">
            <v>2</v>
          </cell>
        </row>
        <row r="823">
          <cell r="CV823">
            <v>2</v>
          </cell>
        </row>
        <row r="824">
          <cell r="CV824">
            <v>3</v>
          </cell>
        </row>
        <row r="825">
          <cell r="CV825">
            <v>3</v>
          </cell>
        </row>
        <row r="826">
          <cell r="CV826">
            <v>3</v>
          </cell>
        </row>
        <row r="827">
          <cell r="CV827">
            <v>3</v>
          </cell>
        </row>
        <row r="828">
          <cell r="CV828">
            <v>2</v>
          </cell>
        </row>
        <row r="829">
          <cell r="CV829">
            <v>2</v>
          </cell>
        </row>
        <row r="830">
          <cell r="CV830">
            <v>1</v>
          </cell>
        </row>
        <row r="831">
          <cell r="CV831">
            <v>2</v>
          </cell>
        </row>
        <row r="832">
          <cell r="CV832">
            <v>2</v>
          </cell>
        </row>
        <row r="833">
          <cell r="CV833">
            <v>4</v>
          </cell>
        </row>
        <row r="834">
          <cell r="CV834">
            <v>4</v>
          </cell>
        </row>
        <row r="835">
          <cell r="CV835">
            <v>5</v>
          </cell>
        </row>
        <row r="836">
          <cell r="CV836">
            <v>3</v>
          </cell>
        </row>
        <row r="837">
          <cell r="CV837">
            <v>4</v>
          </cell>
        </row>
        <row r="838">
          <cell r="CV838">
            <v>2</v>
          </cell>
        </row>
        <row r="839">
          <cell r="CV839">
            <v>3</v>
          </cell>
        </row>
        <row r="840">
          <cell r="CV840">
            <v>2</v>
          </cell>
        </row>
        <row r="841">
          <cell r="CV841">
            <v>2</v>
          </cell>
        </row>
        <row r="842">
          <cell r="CV842">
            <v>4</v>
          </cell>
        </row>
        <row r="843">
          <cell r="CV843">
            <v>3</v>
          </cell>
        </row>
        <row r="844">
          <cell r="CV844">
            <v>3</v>
          </cell>
        </row>
        <row r="845">
          <cell r="CV845">
            <v>5</v>
          </cell>
        </row>
        <row r="846">
          <cell r="CV846">
            <v>4</v>
          </cell>
        </row>
        <row r="847">
          <cell r="CV847">
            <v>3</v>
          </cell>
        </row>
        <row r="848">
          <cell r="CV848">
            <v>2</v>
          </cell>
        </row>
        <row r="849">
          <cell r="CV849">
            <v>3</v>
          </cell>
        </row>
        <row r="850">
          <cell r="CV850">
            <v>2</v>
          </cell>
        </row>
        <row r="851">
          <cell r="CV851">
            <v>3</v>
          </cell>
        </row>
        <row r="852">
          <cell r="CV852">
            <v>1</v>
          </cell>
        </row>
        <row r="853">
          <cell r="CV853">
            <v>2</v>
          </cell>
        </row>
        <row r="854">
          <cell r="CV854">
            <v>3</v>
          </cell>
        </row>
        <row r="855">
          <cell r="CV855">
            <v>3</v>
          </cell>
        </row>
        <row r="856">
          <cell r="CV856">
            <v>2</v>
          </cell>
        </row>
        <row r="857">
          <cell r="CV857">
            <v>2</v>
          </cell>
        </row>
        <row r="858">
          <cell r="CV858">
            <v>3</v>
          </cell>
        </row>
        <row r="859">
          <cell r="CV859">
            <v>1</v>
          </cell>
        </row>
        <row r="860">
          <cell r="CV860">
            <v>2</v>
          </cell>
        </row>
        <row r="861">
          <cell r="CV861">
            <v>1</v>
          </cell>
        </row>
        <row r="862">
          <cell r="CV862">
            <v>3</v>
          </cell>
        </row>
        <row r="863">
          <cell r="CV863">
            <v>4</v>
          </cell>
        </row>
        <row r="864">
          <cell r="CV864">
            <v>2</v>
          </cell>
        </row>
        <row r="865">
          <cell r="CV865">
            <v>2</v>
          </cell>
        </row>
        <row r="866">
          <cell r="CV866">
            <v>3</v>
          </cell>
        </row>
        <row r="867">
          <cell r="CV867">
            <v>3</v>
          </cell>
        </row>
        <row r="868">
          <cell r="CV868">
            <v>4</v>
          </cell>
        </row>
        <row r="869">
          <cell r="CV869">
            <v>3</v>
          </cell>
        </row>
        <row r="870">
          <cell r="CV870">
            <v>4</v>
          </cell>
        </row>
        <row r="871">
          <cell r="CV871">
            <v>3</v>
          </cell>
        </row>
        <row r="872">
          <cell r="CV872">
            <v>2</v>
          </cell>
        </row>
        <row r="873">
          <cell r="CV873">
            <v>2</v>
          </cell>
        </row>
        <row r="874">
          <cell r="CV874">
            <v>5</v>
          </cell>
        </row>
        <row r="875">
          <cell r="CV875">
            <v>2</v>
          </cell>
        </row>
        <row r="876">
          <cell r="CV876">
            <v>2</v>
          </cell>
        </row>
        <row r="877">
          <cell r="CV877">
            <v>1</v>
          </cell>
        </row>
        <row r="878">
          <cell r="CV878">
            <v>3</v>
          </cell>
        </row>
        <row r="879">
          <cell r="CV879">
            <v>3</v>
          </cell>
        </row>
        <row r="880">
          <cell r="CV880">
            <v>3</v>
          </cell>
        </row>
        <row r="881">
          <cell r="CV881">
            <v>3</v>
          </cell>
        </row>
        <row r="883">
          <cell r="CV883">
            <v>3</v>
          </cell>
        </row>
        <row r="884">
          <cell r="CV884">
            <v>5</v>
          </cell>
        </row>
        <row r="885">
          <cell r="CV885">
            <v>1</v>
          </cell>
        </row>
        <row r="886">
          <cell r="CV886">
            <v>1</v>
          </cell>
        </row>
        <row r="887">
          <cell r="CV887">
            <v>2</v>
          </cell>
        </row>
        <row r="888">
          <cell r="CV888">
            <v>1</v>
          </cell>
        </row>
        <row r="889">
          <cell r="CV889">
            <v>3</v>
          </cell>
        </row>
        <row r="890">
          <cell r="CV890">
            <v>2</v>
          </cell>
        </row>
        <row r="891">
          <cell r="CV891">
            <v>4</v>
          </cell>
        </row>
        <row r="892">
          <cell r="CV892">
            <v>3</v>
          </cell>
        </row>
        <row r="893">
          <cell r="CV893">
            <v>3</v>
          </cell>
        </row>
        <row r="894">
          <cell r="CV894">
            <v>1</v>
          </cell>
        </row>
        <row r="895">
          <cell r="CV895">
            <v>3</v>
          </cell>
        </row>
        <row r="896">
          <cell r="CV896">
            <v>5</v>
          </cell>
        </row>
        <row r="897">
          <cell r="CV897">
            <v>2</v>
          </cell>
        </row>
        <row r="898">
          <cell r="CV898">
            <v>1</v>
          </cell>
        </row>
        <row r="899">
          <cell r="CV899">
            <v>5</v>
          </cell>
        </row>
        <row r="900">
          <cell r="CV900">
            <v>2</v>
          </cell>
        </row>
        <row r="901">
          <cell r="CV901">
            <v>4</v>
          </cell>
        </row>
        <row r="902">
          <cell r="CV902">
            <v>3</v>
          </cell>
        </row>
        <row r="903">
          <cell r="CV903">
            <v>2</v>
          </cell>
        </row>
        <row r="904">
          <cell r="CV904">
            <v>3</v>
          </cell>
        </row>
        <row r="905">
          <cell r="CV905">
            <v>2</v>
          </cell>
        </row>
        <row r="906">
          <cell r="CV906">
            <v>2</v>
          </cell>
        </row>
        <row r="907">
          <cell r="CV907">
            <v>2</v>
          </cell>
        </row>
        <row r="908">
          <cell r="CV908">
            <v>2</v>
          </cell>
        </row>
        <row r="909">
          <cell r="CV909">
            <v>2</v>
          </cell>
        </row>
        <row r="910">
          <cell r="CV910">
            <v>5</v>
          </cell>
        </row>
        <row r="911">
          <cell r="CV911">
            <v>3</v>
          </cell>
        </row>
        <row r="912">
          <cell r="CV912">
            <v>5</v>
          </cell>
        </row>
        <row r="913">
          <cell r="CV913">
            <v>4</v>
          </cell>
        </row>
        <row r="914">
          <cell r="CV914">
            <v>3</v>
          </cell>
        </row>
        <row r="915">
          <cell r="CV915">
            <v>3</v>
          </cell>
        </row>
        <row r="916">
          <cell r="CV916">
            <v>2</v>
          </cell>
        </row>
        <row r="917">
          <cell r="CV917">
            <v>2</v>
          </cell>
        </row>
        <row r="918">
          <cell r="CV918">
            <v>3</v>
          </cell>
        </row>
        <row r="919">
          <cell r="CV919">
            <v>2</v>
          </cell>
        </row>
        <row r="920">
          <cell r="CV920">
            <v>1</v>
          </cell>
        </row>
        <row r="921">
          <cell r="CV921">
            <v>5</v>
          </cell>
        </row>
        <row r="922">
          <cell r="CV922">
            <v>5</v>
          </cell>
        </row>
        <row r="923">
          <cell r="CV923">
            <v>5</v>
          </cell>
        </row>
        <row r="924">
          <cell r="CV924">
            <v>2</v>
          </cell>
        </row>
        <row r="925">
          <cell r="CV925">
            <v>2</v>
          </cell>
        </row>
        <row r="926">
          <cell r="CV926">
            <v>3</v>
          </cell>
        </row>
        <row r="927">
          <cell r="CV927">
            <v>2</v>
          </cell>
        </row>
        <row r="928">
          <cell r="CV928">
            <v>3</v>
          </cell>
        </row>
        <row r="929">
          <cell r="CV929">
            <v>2</v>
          </cell>
        </row>
        <row r="930">
          <cell r="CV930">
            <v>2</v>
          </cell>
        </row>
        <row r="931">
          <cell r="CV931">
            <v>3</v>
          </cell>
        </row>
        <row r="932">
          <cell r="CV932">
            <v>3</v>
          </cell>
        </row>
        <row r="933">
          <cell r="CV933">
            <v>4</v>
          </cell>
        </row>
        <row r="934">
          <cell r="CV934">
            <v>5</v>
          </cell>
        </row>
        <row r="935">
          <cell r="CV935">
            <v>4</v>
          </cell>
        </row>
        <row r="936">
          <cell r="CV936">
            <v>4</v>
          </cell>
        </row>
        <row r="937">
          <cell r="CV937">
            <v>3</v>
          </cell>
        </row>
        <row r="938">
          <cell r="CV938">
            <v>5</v>
          </cell>
        </row>
        <row r="939">
          <cell r="CV939">
            <v>2</v>
          </cell>
        </row>
        <row r="940">
          <cell r="CV940">
            <v>3</v>
          </cell>
        </row>
        <row r="941">
          <cell r="CV941">
            <v>2</v>
          </cell>
        </row>
        <row r="942">
          <cell r="CV942">
            <v>2</v>
          </cell>
        </row>
        <row r="943">
          <cell r="CV943">
            <v>3</v>
          </cell>
        </row>
        <row r="944">
          <cell r="CV944">
            <v>3</v>
          </cell>
        </row>
        <row r="945">
          <cell r="CV945">
            <v>3</v>
          </cell>
        </row>
        <row r="946">
          <cell r="CV946">
            <v>3</v>
          </cell>
        </row>
        <row r="947">
          <cell r="CV947">
            <v>2</v>
          </cell>
        </row>
        <row r="948">
          <cell r="CV948">
            <v>5</v>
          </cell>
        </row>
        <row r="949">
          <cell r="CV949">
            <v>3</v>
          </cell>
        </row>
        <row r="950">
          <cell r="CV950">
            <v>4</v>
          </cell>
        </row>
        <row r="951">
          <cell r="CV951">
            <v>4</v>
          </cell>
        </row>
        <row r="952">
          <cell r="CV952">
            <v>3</v>
          </cell>
        </row>
        <row r="953">
          <cell r="CV953">
            <v>2</v>
          </cell>
        </row>
        <row r="954">
          <cell r="CV954">
            <v>5</v>
          </cell>
        </row>
        <row r="955">
          <cell r="CV955">
            <v>2</v>
          </cell>
        </row>
        <row r="956">
          <cell r="CV956">
            <v>4</v>
          </cell>
        </row>
        <row r="957">
          <cell r="CV957">
            <v>2</v>
          </cell>
        </row>
        <row r="958">
          <cell r="CV958">
            <v>3</v>
          </cell>
        </row>
        <row r="959">
          <cell r="CV959">
            <v>3</v>
          </cell>
        </row>
        <row r="960">
          <cell r="CV960">
            <v>5</v>
          </cell>
        </row>
        <row r="961">
          <cell r="CV961">
            <v>5</v>
          </cell>
        </row>
        <row r="962">
          <cell r="CV962">
            <v>4</v>
          </cell>
        </row>
        <row r="963">
          <cell r="CV963">
            <v>2</v>
          </cell>
        </row>
        <row r="964">
          <cell r="CV964">
            <v>2</v>
          </cell>
        </row>
        <row r="965">
          <cell r="CV965">
            <v>1</v>
          </cell>
        </row>
        <row r="966">
          <cell r="CV966">
            <v>5</v>
          </cell>
        </row>
        <row r="967">
          <cell r="CV967">
            <v>4</v>
          </cell>
        </row>
        <row r="968">
          <cell r="CV968">
            <v>2</v>
          </cell>
        </row>
        <row r="969">
          <cell r="CV969">
            <v>3</v>
          </cell>
        </row>
        <row r="970">
          <cell r="CV970">
            <v>5</v>
          </cell>
        </row>
        <row r="971">
          <cell r="CV971">
            <v>3</v>
          </cell>
        </row>
        <row r="972">
          <cell r="CV972">
            <v>2</v>
          </cell>
        </row>
        <row r="973">
          <cell r="CV973">
            <v>2</v>
          </cell>
        </row>
        <row r="974">
          <cell r="CV974">
            <v>2</v>
          </cell>
        </row>
        <row r="975">
          <cell r="CV975">
            <v>2</v>
          </cell>
        </row>
        <row r="976">
          <cell r="CV976">
            <v>4</v>
          </cell>
        </row>
        <row r="977">
          <cell r="CV977">
            <v>2</v>
          </cell>
        </row>
        <row r="978">
          <cell r="CV978">
            <v>2</v>
          </cell>
        </row>
        <row r="979">
          <cell r="CV979">
            <v>5</v>
          </cell>
        </row>
        <row r="980">
          <cell r="CV980">
            <v>3</v>
          </cell>
        </row>
        <row r="981">
          <cell r="CV981">
            <v>3</v>
          </cell>
        </row>
        <row r="982">
          <cell r="CV982">
            <v>3</v>
          </cell>
        </row>
        <row r="983">
          <cell r="CV983">
            <v>2</v>
          </cell>
        </row>
        <row r="984">
          <cell r="CV984">
            <v>2</v>
          </cell>
        </row>
        <row r="985">
          <cell r="CV985">
            <v>2</v>
          </cell>
        </row>
        <row r="986">
          <cell r="CV986">
            <v>3</v>
          </cell>
        </row>
        <row r="987">
          <cell r="CV987">
            <v>5</v>
          </cell>
        </row>
        <row r="988">
          <cell r="CV988">
            <v>1</v>
          </cell>
        </row>
        <row r="989">
          <cell r="CV989">
            <v>2</v>
          </cell>
        </row>
        <row r="990">
          <cell r="CV990">
            <v>2</v>
          </cell>
        </row>
        <row r="991">
          <cell r="CV991">
            <v>4</v>
          </cell>
        </row>
        <row r="992">
          <cell r="CV992">
            <v>1</v>
          </cell>
        </row>
        <row r="993">
          <cell r="CV993">
            <v>2</v>
          </cell>
        </row>
        <row r="994">
          <cell r="CV994">
            <v>2</v>
          </cell>
        </row>
        <row r="995">
          <cell r="CV995">
            <v>3</v>
          </cell>
        </row>
        <row r="996">
          <cell r="CV996">
            <v>3</v>
          </cell>
        </row>
        <row r="997">
          <cell r="CV997">
            <v>4</v>
          </cell>
        </row>
        <row r="998">
          <cell r="CV998">
            <v>2</v>
          </cell>
        </row>
        <row r="999">
          <cell r="CV999">
            <v>2</v>
          </cell>
        </row>
        <row r="1000">
          <cell r="CV1000">
            <v>3</v>
          </cell>
        </row>
        <row r="1002">
          <cell r="CV1002">
            <v>4</v>
          </cell>
        </row>
        <row r="1003">
          <cell r="CV1003">
            <v>2</v>
          </cell>
        </row>
        <row r="1004">
          <cell r="CV1004">
            <v>3</v>
          </cell>
        </row>
        <row r="1005">
          <cell r="CV1005">
            <v>3</v>
          </cell>
        </row>
        <row r="1006">
          <cell r="CV1006">
            <v>2</v>
          </cell>
        </row>
        <row r="1007">
          <cell r="CV1007">
            <v>5</v>
          </cell>
        </row>
        <row r="1008">
          <cell r="CV1008">
            <v>1</v>
          </cell>
        </row>
        <row r="1009">
          <cell r="CV1009">
            <v>2</v>
          </cell>
        </row>
        <row r="1010">
          <cell r="CV1010">
            <v>2</v>
          </cell>
        </row>
        <row r="1011">
          <cell r="CV1011">
            <v>2</v>
          </cell>
        </row>
        <row r="1012">
          <cell r="CV1012">
            <v>4</v>
          </cell>
        </row>
        <row r="1013">
          <cell r="CV1013">
            <v>2</v>
          </cell>
        </row>
        <row r="1014">
          <cell r="CV1014">
            <v>3</v>
          </cell>
        </row>
        <row r="1015">
          <cell r="CV1015">
            <v>3</v>
          </cell>
        </row>
        <row r="1016">
          <cell r="CV1016">
            <v>3</v>
          </cell>
        </row>
        <row r="1017">
          <cell r="CV1017">
            <v>1</v>
          </cell>
        </row>
        <row r="1018">
          <cell r="CV1018">
            <v>3</v>
          </cell>
        </row>
        <row r="1019">
          <cell r="CV1019">
            <v>4</v>
          </cell>
        </row>
        <row r="1020">
          <cell r="CV1020">
            <v>3</v>
          </cell>
        </row>
        <row r="1021">
          <cell r="CV1021">
            <v>5</v>
          </cell>
        </row>
        <row r="1022">
          <cell r="CV1022">
            <v>5</v>
          </cell>
        </row>
        <row r="1023">
          <cell r="CV1023">
            <v>3</v>
          </cell>
        </row>
        <row r="1024">
          <cell r="CV1024">
            <v>3</v>
          </cell>
        </row>
        <row r="1025">
          <cell r="CV1025">
            <v>2</v>
          </cell>
        </row>
        <row r="1026">
          <cell r="CV1026">
            <v>3</v>
          </cell>
        </row>
        <row r="1027">
          <cell r="CV1027">
            <v>3</v>
          </cell>
        </row>
        <row r="1028">
          <cell r="CV1028">
            <v>5</v>
          </cell>
        </row>
        <row r="1029">
          <cell r="CV1029">
            <v>1</v>
          </cell>
        </row>
        <row r="1030">
          <cell r="CV1030">
            <v>1</v>
          </cell>
        </row>
        <row r="1031">
          <cell r="CV1031">
            <v>2</v>
          </cell>
        </row>
        <row r="1032">
          <cell r="CV1032">
            <v>5</v>
          </cell>
        </row>
        <row r="1033">
          <cell r="CV1033">
            <v>1</v>
          </cell>
        </row>
        <row r="1034">
          <cell r="CV1034">
            <v>2</v>
          </cell>
        </row>
        <row r="1035">
          <cell r="CV1035">
            <v>2</v>
          </cell>
        </row>
        <row r="1036">
          <cell r="CV1036">
            <v>3</v>
          </cell>
        </row>
        <row r="1037">
          <cell r="CV1037">
            <v>2</v>
          </cell>
        </row>
        <row r="1038">
          <cell r="CV1038">
            <v>2</v>
          </cell>
        </row>
        <row r="1039">
          <cell r="CV1039">
            <v>1</v>
          </cell>
        </row>
        <row r="1040">
          <cell r="CV1040">
            <v>5</v>
          </cell>
        </row>
        <row r="1041">
          <cell r="CV1041">
            <v>3</v>
          </cell>
        </row>
        <row r="1042">
          <cell r="CV1042">
            <v>3</v>
          </cell>
        </row>
        <row r="1043">
          <cell r="CV1043">
            <v>3</v>
          </cell>
        </row>
        <row r="1044">
          <cell r="CV1044">
            <v>2</v>
          </cell>
        </row>
        <row r="1045">
          <cell r="CV1045">
            <v>1</v>
          </cell>
        </row>
        <row r="1046">
          <cell r="CV1046">
            <v>2</v>
          </cell>
        </row>
        <row r="1047">
          <cell r="CV1047">
            <v>2</v>
          </cell>
        </row>
        <row r="1048">
          <cell r="CV1048">
            <v>4</v>
          </cell>
        </row>
        <row r="1049">
          <cell r="CV1049">
            <v>4</v>
          </cell>
        </row>
        <row r="1050">
          <cell r="CV1050">
            <v>5</v>
          </cell>
        </row>
        <row r="1051">
          <cell r="CV1051">
            <v>3</v>
          </cell>
        </row>
        <row r="1052">
          <cell r="CV1052">
            <v>4</v>
          </cell>
        </row>
        <row r="1053">
          <cell r="CV1053">
            <v>1</v>
          </cell>
        </row>
        <row r="1054">
          <cell r="CV1054">
            <v>2</v>
          </cell>
        </row>
        <row r="1055">
          <cell r="CV1055">
            <v>3</v>
          </cell>
        </row>
        <row r="1056">
          <cell r="CV1056">
            <v>2</v>
          </cell>
        </row>
        <row r="1057">
          <cell r="CV1057">
            <v>2</v>
          </cell>
        </row>
        <row r="1058">
          <cell r="CV1058">
            <v>5</v>
          </cell>
        </row>
        <row r="1059">
          <cell r="CV1059">
            <v>2</v>
          </cell>
        </row>
        <row r="1060">
          <cell r="CV1060">
            <v>2</v>
          </cell>
        </row>
        <row r="1061">
          <cell r="CV1061">
            <v>2</v>
          </cell>
        </row>
        <row r="1062">
          <cell r="CV1062">
            <v>3</v>
          </cell>
        </row>
        <row r="1063">
          <cell r="CV1063">
            <v>3</v>
          </cell>
        </row>
        <row r="1064">
          <cell r="CV1064">
            <v>2</v>
          </cell>
        </row>
        <row r="1065">
          <cell r="CV1065">
            <v>2</v>
          </cell>
        </row>
        <row r="1066">
          <cell r="CV1066">
            <v>4</v>
          </cell>
        </row>
        <row r="1067">
          <cell r="CV1067">
            <v>5</v>
          </cell>
        </row>
        <row r="1068">
          <cell r="CV1068">
            <v>2</v>
          </cell>
        </row>
        <row r="1069">
          <cell r="CV1069">
            <v>2</v>
          </cell>
        </row>
        <row r="1070">
          <cell r="CV1070">
            <v>3</v>
          </cell>
        </row>
        <row r="1071">
          <cell r="CV1071">
            <v>1</v>
          </cell>
        </row>
        <row r="1072">
          <cell r="CV1072">
            <v>5</v>
          </cell>
        </row>
        <row r="1073">
          <cell r="CV1073">
            <v>2</v>
          </cell>
        </row>
        <row r="1074">
          <cell r="CV1074">
            <v>4</v>
          </cell>
        </row>
        <row r="1075">
          <cell r="CV1075">
            <v>2</v>
          </cell>
        </row>
        <row r="1076">
          <cell r="CV1076">
            <v>3</v>
          </cell>
        </row>
        <row r="1077">
          <cell r="CV1077">
            <v>2</v>
          </cell>
        </row>
        <row r="1078">
          <cell r="CV1078">
            <v>5</v>
          </cell>
        </row>
        <row r="1079">
          <cell r="CV1079">
            <v>4</v>
          </cell>
        </row>
        <row r="1080">
          <cell r="CV1080">
            <v>2</v>
          </cell>
        </row>
        <row r="1081">
          <cell r="CV1081">
            <v>4</v>
          </cell>
        </row>
        <row r="1082">
          <cell r="CV1082">
            <v>3</v>
          </cell>
        </row>
        <row r="1083">
          <cell r="CV1083">
            <v>5</v>
          </cell>
        </row>
        <row r="1084">
          <cell r="CV1084">
            <v>2</v>
          </cell>
        </row>
        <row r="1085">
          <cell r="CV1085">
            <v>3</v>
          </cell>
        </row>
        <row r="1086">
          <cell r="CV1086">
            <v>1</v>
          </cell>
        </row>
        <row r="1087">
          <cell r="CV1087">
            <v>3</v>
          </cell>
        </row>
        <row r="1088">
          <cell r="CV1088">
            <v>3</v>
          </cell>
        </row>
        <row r="1089">
          <cell r="CV1089">
            <v>2</v>
          </cell>
        </row>
        <row r="1090">
          <cell r="CV1090">
            <v>2</v>
          </cell>
        </row>
        <row r="1091">
          <cell r="CV1091">
            <v>2</v>
          </cell>
        </row>
        <row r="1092">
          <cell r="CV1092">
            <v>3</v>
          </cell>
        </row>
        <row r="1093">
          <cell r="CV1093">
            <v>5</v>
          </cell>
        </row>
        <row r="1094">
          <cell r="CV1094">
            <v>2</v>
          </cell>
        </row>
        <row r="1095">
          <cell r="CV1095">
            <v>2</v>
          </cell>
        </row>
        <row r="1096">
          <cell r="CV1096">
            <v>3</v>
          </cell>
        </row>
        <row r="1097">
          <cell r="CV1097">
            <v>5</v>
          </cell>
        </row>
        <row r="1098">
          <cell r="CV1098">
            <v>4</v>
          </cell>
        </row>
        <row r="1099">
          <cell r="CV1099">
            <v>2</v>
          </cell>
        </row>
        <row r="1100">
          <cell r="CV1100">
            <v>5</v>
          </cell>
        </row>
        <row r="1101">
          <cell r="CV1101">
            <v>5</v>
          </cell>
        </row>
        <row r="1102">
          <cell r="CV1102">
            <v>4</v>
          </cell>
        </row>
        <row r="1103">
          <cell r="CV1103">
            <v>2</v>
          </cell>
        </row>
        <row r="1104">
          <cell r="CV1104">
            <v>2</v>
          </cell>
        </row>
        <row r="1105">
          <cell r="CV1105">
            <v>3</v>
          </cell>
        </row>
        <row r="1106">
          <cell r="CV1106">
            <v>2</v>
          </cell>
        </row>
        <row r="1107">
          <cell r="CV1107">
            <v>2</v>
          </cell>
        </row>
        <row r="1108">
          <cell r="CV1108">
            <v>2</v>
          </cell>
        </row>
        <row r="1109">
          <cell r="CV1109">
            <v>3</v>
          </cell>
        </row>
        <row r="1110">
          <cell r="CV1110">
            <v>5</v>
          </cell>
        </row>
        <row r="1111">
          <cell r="CV1111">
            <v>2</v>
          </cell>
        </row>
        <row r="1112">
          <cell r="CV1112">
            <v>3</v>
          </cell>
        </row>
        <row r="1113">
          <cell r="CV1113">
            <v>2</v>
          </cell>
        </row>
        <row r="1114">
          <cell r="CV1114">
            <v>5</v>
          </cell>
        </row>
        <row r="1115">
          <cell r="CV1115">
            <v>3</v>
          </cell>
        </row>
        <row r="1116">
          <cell r="CV1116">
            <v>3</v>
          </cell>
        </row>
        <row r="1117">
          <cell r="CV1117">
            <v>2</v>
          </cell>
        </row>
        <row r="1118">
          <cell r="CV1118">
            <v>2</v>
          </cell>
        </row>
        <row r="1119">
          <cell r="CV1119">
            <v>2</v>
          </cell>
        </row>
        <row r="1120">
          <cell r="CV1120">
            <v>1</v>
          </cell>
        </row>
        <row r="1121">
          <cell r="CV1121">
            <v>3</v>
          </cell>
        </row>
        <row r="1122">
          <cell r="CV1122">
            <v>3</v>
          </cell>
        </row>
        <row r="1123">
          <cell r="CV1123">
            <v>2</v>
          </cell>
        </row>
        <row r="1124">
          <cell r="CV1124">
            <v>2</v>
          </cell>
        </row>
        <row r="1125">
          <cell r="CV1125">
            <v>4</v>
          </cell>
        </row>
        <row r="1126">
          <cell r="CV1126">
            <v>3</v>
          </cell>
        </row>
        <row r="1127">
          <cell r="CV1127">
            <v>3</v>
          </cell>
        </row>
        <row r="1128">
          <cell r="CV1128">
            <v>2</v>
          </cell>
        </row>
        <row r="1129">
          <cell r="CV1129">
            <v>5</v>
          </cell>
        </row>
        <row r="1130">
          <cell r="CV1130">
            <v>1</v>
          </cell>
        </row>
        <row r="1131">
          <cell r="CV1131">
            <v>5</v>
          </cell>
        </row>
        <row r="1132">
          <cell r="CV1132">
            <v>5</v>
          </cell>
        </row>
        <row r="1133">
          <cell r="CV1133">
            <v>5</v>
          </cell>
        </row>
        <row r="1134">
          <cell r="CV1134">
            <v>2</v>
          </cell>
        </row>
        <row r="1135">
          <cell r="CV1135">
            <v>3</v>
          </cell>
        </row>
        <row r="1136">
          <cell r="CV1136">
            <v>2</v>
          </cell>
        </row>
        <row r="1137">
          <cell r="CV1137">
            <v>3</v>
          </cell>
        </row>
        <row r="1138">
          <cell r="CV1138">
            <v>2</v>
          </cell>
        </row>
        <row r="1139">
          <cell r="CV1139">
            <v>1</v>
          </cell>
        </row>
        <row r="1140">
          <cell r="CV1140">
            <v>2</v>
          </cell>
        </row>
        <row r="1141">
          <cell r="CV1141">
            <v>3</v>
          </cell>
        </row>
        <row r="1142">
          <cell r="CV1142">
            <v>3</v>
          </cell>
        </row>
        <row r="1143">
          <cell r="CV1143">
            <v>2</v>
          </cell>
        </row>
        <row r="1144">
          <cell r="CV1144">
            <v>3</v>
          </cell>
        </row>
        <row r="1145">
          <cell r="CV1145">
            <v>5</v>
          </cell>
        </row>
        <row r="1146">
          <cell r="CV1146">
            <v>3</v>
          </cell>
        </row>
        <row r="1147">
          <cell r="CV1147">
            <v>1</v>
          </cell>
        </row>
        <row r="1148">
          <cell r="CV1148">
            <v>3</v>
          </cell>
        </row>
        <row r="1149">
          <cell r="CV1149">
            <v>1</v>
          </cell>
        </row>
        <row r="1150">
          <cell r="CV1150">
            <v>1</v>
          </cell>
        </row>
        <row r="1151">
          <cell r="CV1151">
            <v>2</v>
          </cell>
        </row>
        <row r="1152">
          <cell r="CV1152">
            <v>1</v>
          </cell>
        </row>
        <row r="1153">
          <cell r="CV1153">
            <v>5</v>
          </cell>
        </row>
        <row r="1154">
          <cell r="CV1154">
            <v>3</v>
          </cell>
        </row>
        <row r="1155">
          <cell r="CV1155">
            <v>1</v>
          </cell>
        </row>
        <row r="1156">
          <cell r="CV1156">
            <v>2</v>
          </cell>
        </row>
        <row r="1157">
          <cell r="CV1157">
            <v>3</v>
          </cell>
        </row>
        <row r="1158">
          <cell r="CV1158">
            <v>2</v>
          </cell>
        </row>
        <row r="1159">
          <cell r="CV1159">
            <v>3</v>
          </cell>
        </row>
        <row r="1160">
          <cell r="CV1160">
            <v>3</v>
          </cell>
        </row>
        <row r="1161">
          <cell r="CV1161">
            <v>2</v>
          </cell>
        </row>
        <row r="1162">
          <cell r="CV1162">
            <v>3</v>
          </cell>
        </row>
        <row r="1163">
          <cell r="CV1163">
            <v>2</v>
          </cell>
        </row>
        <row r="1164">
          <cell r="CV1164">
            <v>2</v>
          </cell>
        </row>
        <row r="1165">
          <cell r="CV1165">
            <v>3</v>
          </cell>
        </row>
        <row r="1166">
          <cell r="CV1166">
            <v>4</v>
          </cell>
        </row>
        <row r="1167">
          <cell r="CV1167">
            <v>3</v>
          </cell>
        </row>
        <row r="1168">
          <cell r="CV1168">
            <v>2</v>
          </cell>
        </row>
        <row r="1169">
          <cell r="CV1169">
            <v>3</v>
          </cell>
        </row>
        <row r="1170">
          <cell r="CV1170">
            <v>3</v>
          </cell>
        </row>
        <row r="1171">
          <cell r="CV1171">
            <v>2</v>
          </cell>
        </row>
        <row r="1172">
          <cell r="CV1172">
            <v>5</v>
          </cell>
        </row>
        <row r="1173">
          <cell r="CV1173">
            <v>2</v>
          </cell>
        </row>
        <row r="1174">
          <cell r="CV1174">
            <v>1</v>
          </cell>
        </row>
        <row r="1175">
          <cell r="CV1175">
            <v>5</v>
          </cell>
        </row>
        <row r="1176">
          <cell r="CV1176">
            <v>2</v>
          </cell>
        </row>
        <row r="1177">
          <cell r="CV1177">
            <v>2</v>
          </cell>
        </row>
        <row r="1178">
          <cell r="CV1178">
            <v>1</v>
          </cell>
        </row>
        <row r="1179">
          <cell r="CV1179">
            <v>5</v>
          </cell>
        </row>
        <row r="1180">
          <cell r="CV1180">
            <v>3</v>
          </cell>
        </row>
        <row r="1181">
          <cell r="CV1181">
            <v>5</v>
          </cell>
        </row>
        <row r="1182">
          <cell r="CV1182">
            <v>2</v>
          </cell>
        </row>
        <row r="1183">
          <cell r="CV1183">
            <v>4</v>
          </cell>
        </row>
        <row r="1184">
          <cell r="CV1184">
            <v>2</v>
          </cell>
        </row>
        <row r="1185">
          <cell r="CV1185">
            <v>1</v>
          </cell>
        </row>
        <row r="1186">
          <cell r="CV1186">
            <v>2</v>
          </cell>
        </row>
        <row r="1187">
          <cell r="CV1187">
            <v>5</v>
          </cell>
        </row>
        <row r="1188">
          <cell r="CV1188">
            <v>5</v>
          </cell>
        </row>
        <row r="1189">
          <cell r="CV1189">
            <v>2</v>
          </cell>
        </row>
        <row r="1190">
          <cell r="CV1190">
            <v>2</v>
          </cell>
        </row>
        <row r="1191">
          <cell r="CV1191">
            <v>2</v>
          </cell>
        </row>
        <row r="1192">
          <cell r="CV1192">
            <v>4</v>
          </cell>
        </row>
        <row r="1193">
          <cell r="CV1193">
            <v>3</v>
          </cell>
        </row>
        <row r="1194">
          <cell r="CV1194">
            <v>4</v>
          </cell>
        </row>
        <row r="1195">
          <cell r="CV1195">
            <v>1</v>
          </cell>
        </row>
        <row r="1196">
          <cell r="CV1196">
            <v>2</v>
          </cell>
        </row>
        <row r="1197">
          <cell r="CV1197">
            <v>4</v>
          </cell>
        </row>
        <row r="1198">
          <cell r="CV1198">
            <v>2</v>
          </cell>
        </row>
        <row r="1199">
          <cell r="CV1199">
            <v>3</v>
          </cell>
        </row>
        <row r="1200">
          <cell r="CV1200">
            <v>5</v>
          </cell>
        </row>
        <row r="1201">
          <cell r="CV1201">
            <v>1</v>
          </cell>
        </row>
        <row r="1202">
          <cell r="CV1202">
            <v>2</v>
          </cell>
        </row>
        <row r="1203">
          <cell r="CV1203">
            <v>1</v>
          </cell>
        </row>
        <row r="1204">
          <cell r="CV1204">
            <v>4</v>
          </cell>
        </row>
        <row r="1205">
          <cell r="CV1205">
            <v>2</v>
          </cell>
        </row>
        <row r="1206">
          <cell r="CV1206">
            <v>2</v>
          </cell>
        </row>
        <row r="1207">
          <cell r="CV1207">
            <v>4</v>
          </cell>
        </row>
        <row r="1208">
          <cell r="CV1208">
            <v>1</v>
          </cell>
        </row>
        <row r="1209">
          <cell r="CV1209">
            <v>4</v>
          </cell>
        </row>
        <row r="1210">
          <cell r="CV1210">
            <v>3</v>
          </cell>
        </row>
        <row r="1211">
          <cell r="CV1211">
            <v>3</v>
          </cell>
        </row>
        <row r="1212">
          <cell r="CV1212">
            <v>2</v>
          </cell>
        </row>
        <row r="1213">
          <cell r="CV1213">
            <v>3</v>
          </cell>
        </row>
        <row r="1214">
          <cell r="CV1214">
            <v>3</v>
          </cell>
        </row>
        <row r="1215">
          <cell r="CV1215">
            <v>2</v>
          </cell>
        </row>
        <row r="1216">
          <cell r="CV1216">
            <v>2</v>
          </cell>
        </row>
        <row r="1217">
          <cell r="CV1217">
            <v>3</v>
          </cell>
        </row>
        <row r="1218">
          <cell r="CV1218">
            <v>4</v>
          </cell>
        </row>
        <row r="1219">
          <cell r="CV1219">
            <v>4</v>
          </cell>
        </row>
        <row r="1220">
          <cell r="CV1220">
            <v>2</v>
          </cell>
        </row>
        <row r="1221">
          <cell r="CV1221">
            <v>2</v>
          </cell>
        </row>
        <row r="1222">
          <cell r="CV1222">
            <v>2</v>
          </cell>
        </row>
        <row r="1223">
          <cell r="CV1223">
            <v>1</v>
          </cell>
        </row>
        <row r="1224">
          <cell r="CV1224">
            <v>3</v>
          </cell>
        </row>
        <row r="1225">
          <cell r="CV1225">
            <v>1</v>
          </cell>
        </row>
        <row r="1226">
          <cell r="CV1226">
            <v>3</v>
          </cell>
        </row>
        <row r="1227">
          <cell r="CV1227">
            <v>3</v>
          </cell>
        </row>
        <row r="1228">
          <cell r="CV1228">
            <v>2</v>
          </cell>
        </row>
        <row r="1229">
          <cell r="CV1229">
            <v>3</v>
          </cell>
        </row>
        <row r="1230">
          <cell r="CV1230">
            <v>2</v>
          </cell>
        </row>
        <row r="1231">
          <cell r="CV1231">
            <v>2</v>
          </cell>
        </row>
        <row r="1232">
          <cell r="CV1232">
            <v>4</v>
          </cell>
        </row>
        <row r="1233">
          <cell r="CV1233">
            <v>2</v>
          </cell>
        </row>
        <row r="1234">
          <cell r="CV1234">
            <v>1</v>
          </cell>
        </row>
        <row r="1235">
          <cell r="CV1235">
            <v>3</v>
          </cell>
        </row>
        <row r="1236">
          <cell r="CV1236">
            <v>3</v>
          </cell>
        </row>
        <row r="1237">
          <cell r="CV1237">
            <v>3</v>
          </cell>
        </row>
        <row r="1238">
          <cell r="CV1238">
            <v>2</v>
          </cell>
        </row>
        <row r="1239">
          <cell r="CV1239">
            <v>2</v>
          </cell>
        </row>
        <row r="1240">
          <cell r="CV1240">
            <v>3</v>
          </cell>
        </row>
        <row r="1241">
          <cell r="CV1241">
            <v>5</v>
          </cell>
        </row>
        <row r="1242">
          <cell r="CV1242">
            <v>5</v>
          </cell>
        </row>
        <row r="1243">
          <cell r="CV1243">
            <v>3</v>
          </cell>
        </row>
        <row r="1244">
          <cell r="CV1244">
            <v>2</v>
          </cell>
        </row>
        <row r="1245">
          <cell r="CV1245">
            <v>1</v>
          </cell>
        </row>
        <row r="1246">
          <cell r="CV1246">
            <v>2</v>
          </cell>
        </row>
        <row r="1247">
          <cell r="CV1247">
            <v>3</v>
          </cell>
        </row>
        <row r="1248">
          <cell r="CV1248">
            <v>4</v>
          </cell>
        </row>
        <row r="1249">
          <cell r="CV1249">
            <v>5</v>
          </cell>
        </row>
        <row r="1250">
          <cell r="CV1250">
            <v>3</v>
          </cell>
        </row>
        <row r="1251">
          <cell r="CV1251">
            <v>2</v>
          </cell>
        </row>
        <row r="1252">
          <cell r="CV1252">
            <v>1</v>
          </cell>
        </row>
        <row r="1253">
          <cell r="CV1253">
            <v>3</v>
          </cell>
        </row>
        <row r="1254">
          <cell r="CV1254">
            <v>4</v>
          </cell>
        </row>
        <row r="1255">
          <cell r="CV1255">
            <v>3</v>
          </cell>
        </row>
        <row r="1256">
          <cell r="CV1256">
            <v>2</v>
          </cell>
        </row>
        <row r="1257">
          <cell r="CV1257">
            <v>2</v>
          </cell>
        </row>
        <row r="1258">
          <cell r="CV1258">
            <v>4</v>
          </cell>
        </row>
        <row r="1259">
          <cell r="CV1259">
            <v>3</v>
          </cell>
        </row>
        <row r="1260">
          <cell r="CV1260">
            <v>2</v>
          </cell>
        </row>
        <row r="1261">
          <cell r="CV1261">
            <v>2</v>
          </cell>
        </row>
        <row r="1262">
          <cell r="CV1262">
            <v>3</v>
          </cell>
        </row>
        <row r="1263">
          <cell r="CV1263">
            <v>2</v>
          </cell>
        </row>
        <row r="1264">
          <cell r="CV1264">
            <v>1</v>
          </cell>
        </row>
        <row r="1265">
          <cell r="CV1265">
            <v>2</v>
          </cell>
        </row>
        <row r="1266">
          <cell r="CV1266">
            <v>1</v>
          </cell>
        </row>
        <row r="1267">
          <cell r="CV1267">
            <v>3</v>
          </cell>
        </row>
        <row r="1268">
          <cell r="CV1268">
            <v>3</v>
          </cell>
        </row>
        <row r="1269">
          <cell r="CV1269">
            <v>4</v>
          </cell>
        </row>
        <row r="1270">
          <cell r="CV1270">
            <v>2</v>
          </cell>
        </row>
        <row r="1271">
          <cell r="CV1271">
            <v>2</v>
          </cell>
        </row>
        <row r="1272">
          <cell r="CV1272">
            <v>5</v>
          </cell>
        </row>
        <row r="1273">
          <cell r="CV1273">
            <v>2</v>
          </cell>
        </row>
        <row r="1274">
          <cell r="CV1274">
            <v>1</v>
          </cell>
        </row>
        <row r="1275">
          <cell r="CV1275">
            <v>1</v>
          </cell>
        </row>
        <row r="1276">
          <cell r="CV1276">
            <v>4</v>
          </cell>
        </row>
        <row r="1277">
          <cell r="CV1277">
            <v>2</v>
          </cell>
        </row>
        <row r="1278">
          <cell r="CV1278">
            <v>3</v>
          </cell>
        </row>
        <row r="1279">
          <cell r="CV1279">
            <v>3</v>
          </cell>
        </row>
        <row r="1280">
          <cell r="CV1280">
            <v>2</v>
          </cell>
        </row>
        <row r="1281">
          <cell r="CV1281">
            <v>3</v>
          </cell>
        </row>
        <row r="1282">
          <cell r="CV1282">
            <v>3</v>
          </cell>
        </row>
        <row r="1283">
          <cell r="CV1283">
            <v>5</v>
          </cell>
        </row>
        <row r="1284">
          <cell r="CV1284">
            <v>3</v>
          </cell>
        </row>
        <row r="1285">
          <cell r="CV1285">
            <v>4</v>
          </cell>
        </row>
        <row r="1286">
          <cell r="CV1286">
            <v>2</v>
          </cell>
        </row>
        <row r="1287">
          <cell r="CV1287">
            <v>2</v>
          </cell>
        </row>
        <row r="1288">
          <cell r="CV1288">
            <v>2</v>
          </cell>
        </row>
        <row r="1289">
          <cell r="CV1289">
            <v>2</v>
          </cell>
        </row>
        <row r="1290">
          <cell r="CV1290">
            <v>3</v>
          </cell>
        </row>
        <row r="1291">
          <cell r="CV1291">
            <v>2</v>
          </cell>
        </row>
        <row r="1292">
          <cell r="CV1292">
            <v>3</v>
          </cell>
        </row>
        <row r="1294">
          <cell r="CV1294">
            <v>3</v>
          </cell>
        </row>
        <row r="1295">
          <cell r="CV1295">
            <v>2</v>
          </cell>
        </row>
        <row r="1296">
          <cell r="CV1296">
            <v>5</v>
          </cell>
        </row>
        <row r="1297">
          <cell r="CV1297">
            <v>2</v>
          </cell>
        </row>
        <row r="1298">
          <cell r="CV1298">
            <v>2</v>
          </cell>
        </row>
        <row r="1299">
          <cell r="CV1299">
            <v>2</v>
          </cell>
        </row>
        <row r="1300">
          <cell r="CV1300">
            <v>2</v>
          </cell>
        </row>
        <row r="1301">
          <cell r="CV1301">
            <v>5</v>
          </cell>
        </row>
        <row r="1302">
          <cell r="CV1302">
            <v>2</v>
          </cell>
        </row>
        <row r="1303">
          <cell r="CV1303">
            <v>3</v>
          </cell>
        </row>
        <row r="1304">
          <cell r="CV1304">
            <v>4</v>
          </cell>
        </row>
        <row r="1305">
          <cell r="CV1305">
            <v>3</v>
          </cell>
        </row>
        <row r="1306">
          <cell r="CV1306">
            <v>1</v>
          </cell>
        </row>
        <row r="1307">
          <cell r="CV1307">
            <v>2</v>
          </cell>
        </row>
        <row r="1308">
          <cell r="CV1308">
            <v>3</v>
          </cell>
        </row>
        <row r="1309">
          <cell r="CV1309">
            <v>3</v>
          </cell>
        </row>
        <row r="1310">
          <cell r="CV1310">
            <v>2</v>
          </cell>
        </row>
        <row r="1311">
          <cell r="CV1311">
            <v>4</v>
          </cell>
        </row>
        <row r="1312">
          <cell r="CV1312">
            <v>5</v>
          </cell>
        </row>
        <row r="1313">
          <cell r="CV1313">
            <v>3</v>
          </cell>
        </row>
        <row r="1314">
          <cell r="CV1314">
            <v>2</v>
          </cell>
        </row>
        <row r="1315">
          <cell r="CV1315">
            <v>2</v>
          </cell>
        </row>
        <row r="1316">
          <cell r="CV1316">
            <v>2</v>
          </cell>
        </row>
        <row r="1317">
          <cell r="CV1317">
            <v>3</v>
          </cell>
        </row>
        <row r="1318">
          <cell r="CV1318">
            <v>3</v>
          </cell>
        </row>
        <row r="1319">
          <cell r="CV1319">
            <v>1</v>
          </cell>
        </row>
        <row r="1320">
          <cell r="CV1320">
            <v>5</v>
          </cell>
        </row>
        <row r="1321">
          <cell r="CV1321">
            <v>4</v>
          </cell>
        </row>
        <row r="1322">
          <cell r="CV1322">
            <v>3</v>
          </cell>
        </row>
        <row r="1323">
          <cell r="CV1323">
            <v>1</v>
          </cell>
        </row>
        <row r="1324">
          <cell r="CV1324">
            <v>5</v>
          </cell>
        </row>
        <row r="1325">
          <cell r="CV1325">
            <v>3</v>
          </cell>
        </row>
        <row r="1326">
          <cell r="CV1326">
            <v>2</v>
          </cell>
        </row>
        <row r="1327">
          <cell r="CV1327">
            <v>3</v>
          </cell>
        </row>
        <row r="1328">
          <cell r="CV1328">
            <v>2</v>
          </cell>
        </row>
        <row r="1329">
          <cell r="CV1329">
            <v>4</v>
          </cell>
        </row>
        <row r="1330">
          <cell r="CV1330">
            <v>3</v>
          </cell>
        </row>
        <row r="1331">
          <cell r="CV1331">
            <v>3</v>
          </cell>
        </row>
        <row r="1332">
          <cell r="CV1332">
            <v>3</v>
          </cell>
        </row>
        <row r="1333">
          <cell r="CV1333">
            <v>4</v>
          </cell>
        </row>
        <row r="1334">
          <cell r="CV1334">
            <v>4</v>
          </cell>
        </row>
        <row r="1335">
          <cell r="CV1335">
            <v>3</v>
          </cell>
        </row>
        <row r="1336">
          <cell r="CV1336">
            <v>5</v>
          </cell>
        </row>
        <row r="1337">
          <cell r="CV1337">
            <v>3</v>
          </cell>
        </row>
        <row r="1338">
          <cell r="CV1338">
            <v>2</v>
          </cell>
        </row>
        <row r="1339">
          <cell r="CV1339">
            <v>4</v>
          </cell>
        </row>
        <row r="1340">
          <cell r="CV1340">
            <v>2</v>
          </cell>
        </row>
        <row r="1341">
          <cell r="CV1341">
            <v>2</v>
          </cell>
        </row>
        <row r="1342">
          <cell r="CV1342">
            <v>2</v>
          </cell>
        </row>
        <row r="1343">
          <cell r="CV1343">
            <v>2</v>
          </cell>
        </row>
        <row r="1344">
          <cell r="CV1344">
            <v>2</v>
          </cell>
        </row>
        <row r="1345">
          <cell r="CV1345">
            <v>5</v>
          </cell>
        </row>
        <row r="1346">
          <cell r="CV1346">
            <v>3</v>
          </cell>
        </row>
        <row r="1347">
          <cell r="CV1347">
            <v>4</v>
          </cell>
        </row>
        <row r="1348">
          <cell r="CV1348">
            <v>2</v>
          </cell>
        </row>
        <row r="1349">
          <cell r="CV1349">
            <v>1</v>
          </cell>
        </row>
        <row r="1350">
          <cell r="CV1350">
            <v>5</v>
          </cell>
        </row>
        <row r="1351">
          <cell r="CV1351">
            <v>2</v>
          </cell>
        </row>
        <row r="1352">
          <cell r="CV1352">
            <v>2</v>
          </cell>
        </row>
        <row r="1353">
          <cell r="CV1353">
            <v>3</v>
          </cell>
        </row>
        <row r="1354">
          <cell r="CV1354">
            <v>5</v>
          </cell>
        </row>
        <row r="1355">
          <cell r="CV1355">
            <v>2</v>
          </cell>
        </row>
        <row r="1356">
          <cell r="CV1356">
            <v>2</v>
          </cell>
        </row>
        <row r="1357">
          <cell r="CV1357">
            <v>3</v>
          </cell>
        </row>
        <row r="1358">
          <cell r="CV1358">
            <v>3</v>
          </cell>
        </row>
        <row r="1359">
          <cell r="CV1359">
            <v>5</v>
          </cell>
        </row>
        <row r="1360">
          <cell r="CV1360">
            <v>4</v>
          </cell>
        </row>
        <row r="1361">
          <cell r="CV1361">
            <v>2</v>
          </cell>
        </row>
        <row r="1363">
          <cell r="CV1363">
            <v>4</v>
          </cell>
        </row>
        <row r="1364">
          <cell r="CV1364">
            <v>2</v>
          </cell>
        </row>
        <row r="1365">
          <cell r="CV1365">
            <v>2</v>
          </cell>
        </row>
        <row r="1366">
          <cell r="CV1366">
            <v>2</v>
          </cell>
        </row>
        <row r="1367">
          <cell r="CV1367">
            <v>1</v>
          </cell>
        </row>
        <row r="1368">
          <cell r="CV1368">
            <v>3</v>
          </cell>
        </row>
        <row r="1369">
          <cell r="CV1369">
            <v>2</v>
          </cell>
        </row>
        <row r="1370">
          <cell r="CV1370">
            <v>3</v>
          </cell>
        </row>
        <row r="1371">
          <cell r="CV1371">
            <v>4</v>
          </cell>
        </row>
        <row r="1372">
          <cell r="CV1372">
            <v>1</v>
          </cell>
        </row>
        <row r="1373">
          <cell r="CV1373">
            <v>2</v>
          </cell>
        </row>
        <row r="1374">
          <cell r="CV1374">
            <v>2</v>
          </cell>
        </row>
        <row r="1375">
          <cell r="CV1375">
            <v>2</v>
          </cell>
        </row>
        <row r="1376">
          <cell r="CV1376">
            <v>3</v>
          </cell>
        </row>
        <row r="1377">
          <cell r="CV1377">
            <v>3</v>
          </cell>
        </row>
        <row r="1378">
          <cell r="CV1378">
            <v>3</v>
          </cell>
        </row>
        <row r="1379">
          <cell r="CV1379">
            <v>3</v>
          </cell>
        </row>
        <row r="1380">
          <cell r="CV1380">
            <v>2</v>
          </cell>
        </row>
        <row r="1381">
          <cell r="CV1381">
            <v>1</v>
          </cell>
        </row>
        <row r="1382">
          <cell r="CV1382">
            <v>3</v>
          </cell>
        </row>
        <row r="1383">
          <cell r="CV1383">
            <v>1</v>
          </cell>
        </row>
        <row r="1384">
          <cell r="CV1384">
            <v>2</v>
          </cell>
        </row>
        <row r="1385">
          <cell r="CV1385">
            <v>3</v>
          </cell>
        </row>
        <row r="1386">
          <cell r="CV1386">
            <v>5</v>
          </cell>
        </row>
        <row r="1387">
          <cell r="CV1387">
            <v>4</v>
          </cell>
        </row>
        <row r="1388">
          <cell r="CV1388">
            <v>2</v>
          </cell>
        </row>
        <row r="1389">
          <cell r="CV1389">
            <v>3</v>
          </cell>
        </row>
        <row r="1390">
          <cell r="CV1390">
            <v>3</v>
          </cell>
        </row>
        <row r="1391">
          <cell r="CV1391">
            <v>3</v>
          </cell>
        </row>
        <row r="1392">
          <cell r="CV1392">
            <v>3</v>
          </cell>
        </row>
        <row r="1393">
          <cell r="CV1393">
            <v>4</v>
          </cell>
        </row>
        <row r="1394">
          <cell r="CV1394">
            <v>2</v>
          </cell>
        </row>
        <row r="1395">
          <cell r="CV1395">
            <v>2</v>
          </cell>
        </row>
        <row r="1396">
          <cell r="CV1396">
            <v>4</v>
          </cell>
        </row>
        <row r="1397">
          <cell r="CV1397">
            <v>3</v>
          </cell>
        </row>
        <row r="1398">
          <cell r="CV1398">
            <v>2</v>
          </cell>
        </row>
        <row r="1399">
          <cell r="CV1399">
            <v>1</v>
          </cell>
        </row>
        <row r="1400">
          <cell r="CV1400">
            <v>4</v>
          </cell>
        </row>
        <row r="1401">
          <cell r="CV1401">
            <v>3</v>
          </cell>
        </row>
        <row r="1403">
          <cell r="CV1403">
            <v>3</v>
          </cell>
        </row>
        <row r="1404">
          <cell r="CV1404">
            <v>3</v>
          </cell>
        </row>
        <row r="1405">
          <cell r="CV1405">
            <v>2</v>
          </cell>
        </row>
        <row r="1406">
          <cell r="CV1406">
            <v>2</v>
          </cell>
        </row>
        <row r="1407">
          <cell r="CV1407">
            <v>2</v>
          </cell>
        </row>
        <row r="1408">
          <cell r="CV1408">
            <v>2</v>
          </cell>
        </row>
        <row r="1409">
          <cell r="CV1409">
            <v>3</v>
          </cell>
        </row>
        <row r="1410">
          <cell r="CV1410">
            <v>3</v>
          </cell>
        </row>
        <row r="1411">
          <cell r="CV1411">
            <v>4</v>
          </cell>
        </row>
        <row r="1412">
          <cell r="CV1412">
            <v>2</v>
          </cell>
        </row>
        <row r="1413">
          <cell r="CV1413">
            <v>3</v>
          </cell>
        </row>
        <row r="1414">
          <cell r="CV1414">
            <v>2</v>
          </cell>
        </row>
        <row r="1415">
          <cell r="CV1415">
            <v>4</v>
          </cell>
        </row>
        <row r="1416">
          <cell r="CV1416">
            <v>2</v>
          </cell>
        </row>
        <row r="1417">
          <cell r="CV1417">
            <v>2</v>
          </cell>
        </row>
        <row r="1418">
          <cell r="CV1418">
            <v>2</v>
          </cell>
        </row>
        <row r="1419">
          <cell r="CV1419">
            <v>1</v>
          </cell>
        </row>
        <row r="1420">
          <cell r="CV1420">
            <v>3</v>
          </cell>
        </row>
        <row r="1421">
          <cell r="CV1421">
            <v>2</v>
          </cell>
        </row>
        <row r="1422">
          <cell r="CV1422">
            <v>2</v>
          </cell>
        </row>
        <row r="1423">
          <cell r="CV1423">
            <v>5</v>
          </cell>
        </row>
        <row r="1424">
          <cell r="CV1424">
            <v>4</v>
          </cell>
        </row>
        <row r="1425">
          <cell r="CV1425">
            <v>2</v>
          </cell>
        </row>
        <row r="1426">
          <cell r="CV1426">
            <v>2</v>
          </cell>
        </row>
        <row r="1427">
          <cell r="CV1427">
            <v>5</v>
          </cell>
        </row>
        <row r="1428">
          <cell r="CV1428">
            <v>2</v>
          </cell>
        </row>
        <row r="1429">
          <cell r="CV1429">
            <v>4</v>
          </cell>
        </row>
        <row r="1430">
          <cell r="CV1430">
            <v>2</v>
          </cell>
        </row>
        <row r="1431">
          <cell r="CV1431">
            <v>4</v>
          </cell>
        </row>
        <row r="1432">
          <cell r="CV1432">
            <v>2</v>
          </cell>
        </row>
        <row r="1433">
          <cell r="CV1433">
            <v>4</v>
          </cell>
        </row>
        <row r="1434">
          <cell r="CV1434">
            <v>2</v>
          </cell>
        </row>
        <row r="1435">
          <cell r="CV1435">
            <v>2</v>
          </cell>
        </row>
        <row r="1436">
          <cell r="CV1436">
            <v>3</v>
          </cell>
        </row>
        <row r="1437">
          <cell r="CV1437">
            <v>5</v>
          </cell>
        </row>
        <row r="1438">
          <cell r="CV1438">
            <v>3</v>
          </cell>
        </row>
        <row r="1439">
          <cell r="CV1439">
            <v>1</v>
          </cell>
        </row>
        <row r="1440">
          <cell r="CV1440">
            <v>1</v>
          </cell>
        </row>
        <row r="1441">
          <cell r="CV1441">
            <v>2</v>
          </cell>
        </row>
        <row r="1442">
          <cell r="CV1442">
            <v>1</v>
          </cell>
        </row>
        <row r="1443">
          <cell r="CV1443">
            <v>2</v>
          </cell>
        </row>
        <row r="1444">
          <cell r="CV1444">
            <v>2</v>
          </cell>
        </row>
        <row r="1445">
          <cell r="CV1445">
            <v>5</v>
          </cell>
        </row>
        <row r="1446">
          <cell r="CV144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O103"/>
  <sheetViews>
    <sheetView tabSelected="1" zoomScaleNormal="100" workbookViewId="0">
      <selection activeCell="R14" sqref="R14"/>
    </sheetView>
  </sheetViews>
  <sheetFormatPr defaultRowHeight="13.2" x14ac:dyDescent="0.2"/>
  <sheetData>
    <row r="1" spans="1:10" x14ac:dyDescent="0.2">
      <c r="A1" s="3" t="s">
        <v>5</v>
      </c>
      <c r="B1" s="1" t="s">
        <v>6</v>
      </c>
      <c r="C1" s="8"/>
      <c r="D1" s="8"/>
      <c r="E1" s="8"/>
      <c r="F1" s="8"/>
      <c r="G1" s="8"/>
      <c r="H1" s="9" t="s">
        <v>1</v>
      </c>
    </row>
    <row r="2" spans="1:10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0" x14ac:dyDescent="0.2">
      <c r="A3" s="11" t="s">
        <v>8</v>
      </c>
      <c r="B3" s="53" t="s">
        <v>156</v>
      </c>
      <c r="C3" s="52" t="s">
        <v>173</v>
      </c>
      <c r="D3" s="52" t="s">
        <v>184</v>
      </c>
      <c r="E3" s="52" t="s">
        <v>185</v>
      </c>
      <c r="F3" s="52" t="s">
        <v>186</v>
      </c>
      <c r="G3" s="55" t="s">
        <v>245</v>
      </c>
      <c r="H3" s="55" t="s">
        <v>249</v>
      </c>
      <c r="I3" s="55" t="s">
        <v>252</v>
      </c>
    </row>
    <row r="4" spans="1:10" x14ac:dyDescent="0.2">
      <c r="A4" s="56" t="s">
        <v>9</v>
      </c>
      <c r="B4" s="116">
        <v>8.6999999999999993</v>
      </c>
      <c r="C4" s="115">
        <v>6.8702290076335881</v>
      </c>
      <c r="D4" s="115">
        <v>4.7</v>
      </c>
      <c r="E4" s="115">
        <v>6.8</v>
      </c>
      <c r="F4" s="115">
        <v>3.9</v>
      </c>
      <c r="G4" s="115">
        <v>3.1</v>
      </c>
      <c r="H4" s="115">
        <v>7.0175438596491224</v>
      </c>
      <c r="I4" s="64">
        <f>C44</f>
        <v>7.5630252100840334</v>
      </c>
      <c r="J4" s="25">
        <f>I4-H4</f>
        <v>0.54548135043491097</v>
      </c>
    </row>
    <row r="5" spans="1:10" x14ac:dyDescent="0.2">
      <c r="A5" s="57" t="s">
        <v>10</v>
      </c>
      <c r="B5" s="118">
        <v>53.3</v>
      </c>
      <c r="C5" s="117">
        <v>59.541984732824424</v>
      </c>
      <c r="D5" s="117">
        <v>65.400000000000006</v>
      </c>
      <c r="E5" s="117">
        <v>58.9</v>
      </c>
      <c r="F5" s="117">
        <v>60.5</v>
      </c>
      <c r="G5" s="117">
        <v>54.6</v>
      </c>
      <c r="H5" s="117">
        <v>65.789473684210535</v>
      </c>
      <c r="I5" s="65">
        <f>D44</f>
        <v>51.260504201680668</v>
      </c>
      <c r="J5" s="25">
        <f t="shared" ref="J5:J26" si="0">I5-H5</f>
        <v>-14.528969482529867</v>
      </c>
    </row>
    <row r="6" spans="1:10" x14ac:dyDescent="0.2">
      <c r="A6" s="58" t="s">
        <v>11</v>
      </c>
      <c r="B6" s="120">
        <v>32.700000000000003</v>
      </c>
      <c r="C6" s="119">
        <v>28.244274809160309</v>
      </c>
      <c r="D6" s="119">
        <v>23.6</v>
      </c>
      <c r="E6" s="119">
        <v>27.4</v>
      </c>
      <c r="F6" s="119">
        <v>30.3</v>
      </c>
      <c r="G6" s="119">
        <v>35.1</v>
      </c>
      <c r="H6" s="119">
        <v>21.929824561403507</v>
      </c>
      <c r="I6" s="66">
        <f>E44</f>
        <v>36.134453781512605</v>
      </c>
      <c r="J6" s="25">
        <f t="shared" si="0"/>
        <v>14.204629220109098</v>
      </c>
    </row>
    <row r="7" spans="1:10" x14ac:dyDescent="0.2">
      <c r="A7" s="11" t="s">
        <v>12</v>
      </c>
      <c r="B7" s="53" t="s">
        <v>156</v>
      </c>
      <c r="C7" s="52" t="s">
        <v>173</v>
      </c>
      <c r="D7" s="52" t="s">
        <v>184</v>
      </c>
      <c r="E7" s="52" t="s">
        <v>185</v>
      </c>
      <c r="F7" s="52" t="s">
        <v>186</v>
      </c>
      <c r="G7" s="52" t="s">
        <v>245</v>
      </c>
      <c r="H7" s="55" t="s">
        <v>249</v>
      </c>
      <c r="I7" s="55" t="s">
        <v>251</v>
      </c>
      <c r="J7" s="25"/>
    </row>
    <row r="8" spans="1:10" x14ac:dyDescent="0.2">
      <c r="A8" s="56" t="str">
        <f>A4</f>
        <v>楽になった</v>
      </c>
      <c r="B8" s="116">
        <v>3.2</v>
      </c>
      <c r="C8" s="115">
        <v>3.0150753768844218</v>
      </c>
      <c r="D8" s="115">
        <v>3.8</v>
      </c>
      <c r="E8" s="115">
        <v>6.7</v>
      </c>
      <c r="F8" s="115">
        <v>6.4</v>
      </c>
      <c r="G8" s="115">
        <v>3.7</v>
      </c>
      <c r="H8" s="115">
        <v>0</v>
      </c>
      <c r="I8" s="64">
        <f>C46</f>
        <v>1.0204081632653061</v>
      </c>
      <c r="J8" s="25">
        <f t="shared" si="0"/>
        <v>1.0204081632653061</v>
      </c>
    </row>
    <row r="9" spans="1:10" x14ac:dyDescent="0.2">
      <c r="A9" s="57" t="str">
        <f>A5</f>
        <v>かわらない</v>
      </c>
      <c r="B9" s="118">
        <v>52</v>
      </c>
      <c r="C9" s="117">
        <v>60.804020100502512</v>
      </c>
      <c r="D9" s="117">
        <v>57.3</v>
      </c>
      <c r="E9" s="117">
        <v>54.4</v>
      </c>
      <c r="F9" s="117">
        <v>62.6</v>
      </c>
      <c r="G9" s="117">
        <v>54.2</v>
      </c>
      <c r="H9" s="117">
        <v>65.517241379310349</v>
      </c>
      <c r="I9" s="65">
        <f>D46</f>
        <v>40.816326530612244</v>
      </c>
      <c r="J9" s="25">
        <f t="shared" si="0"/>
        <v>-24.700914848698105</v>
      </c>
    </row>
    <row r="10" spans="1:10" x14ac:dyDescent="0.2">
      <c r="A10" s="58" t="str">
        <f>A6</f>
        <v>苦しくなった</v>
      </c>
      <c r="B10" s="120">
        <v>42.4</v>
      </c>
      <c r="C10" s="119">
        <v>32.663316582914575</v>
      </c>
      <c r="D10" s="119">
        <v>36</v>
      </c>
      <c r="E10" s="119">
        <v>37.200000000000003</v>
      </c>
      <c r="F10" s="119">
        <v>29.2</v>
      </c>
      <c r="G10" s="119">
        <v>41.1</v>
      </c>
      <c r="H10" s="119">
        <v>33.333333333333329</v>
      </c>
      <c r="I10" s="66">
        <f>E46</f>
        <v>53.061224489795919</v>
      </c>
      <c r="J10" s="25">
        <f t="shared" si="0"/>
        <v>19.72789115646259</v>
      </c>
    </row>
    <row r="11" spans="1:10" x14ac:dyDescent="0.2">
      <c r="A11" s="11" t="s">
        <v>14</v>
      </c>
      <c r="B11" s="53" t="s">
        <v>156</v>
      </c>
      <c r="C11" s="52" t="s">
        <v>173</v>
      </c>
      <c r="D11" s="52" t="s">
        <v>184</v>
      </c>
      <c r="E11" s="52" t="s">
        <v>185</v>
      </c>
      <c r="F11" s="52" t="s">
        <v>186</v>
      </c>
      <c r="G11" s="52" t="s">
        <v>245</v>
      </c>
      <c r="H11" s="55" t="s">
        <v>249</v>
      </c>
      <c r="I11" s="55" t="s">
        <v>251</v>
      </c>
      <c r="J11" s="25"/>
    </row>
    <row r="12" spans="1:10" x14ac:dyDescent="0.2">
      <c r="A12" s="56" t="str">
        <f>A8</f>
        <v>楽になった</v>
      </c>
      <c r="B12" s="116">
        <v>4.0999999999999996</v>
      </c>
      <c r="C12" s="115">
        <v>3.1372549019607843</v>
      </c>
      <c r="D12" s="115">
        <v>4.8</v>
      </c>
      <c r="E12" s="115">
        <v>2.4</v>
      </c>
      <c r="F12" s="115">
        <v>3.8</v>
      </c>
      <c r="G12" s="115">
        <v>0.7</v>
      </c>
      <c r="H12" s="115">
        <v>1.2048192771084338</v>
      </c>
      <c r="I12" s="64">
        <f>C48</f>
        <v>2.8469750889679712</v>
      </c>
      <c r="J12" s="25">
        <f t="shared" si="0"/>
        <v>1.6421558118595374</v>
      </c>
    </row>
    <row r="13" spans="1:10" x14ac:dyDescent="0.2">
      <c r="A13" s="57" t="str">
        <f>A9</f>
        <v>かわらない</v>
      </c>
      <c r="B13" s="118">
        <v>49.2</v>
      </c>
      <c r="C13" s="117">
        <v>56.862745098039213</v>
      </c>
      <c r="D13" s="117">
        <v>54</v>
      </c>
      <c r="E13" s="117">
        <v>53.3</v>
      </c>
      <c r="F13" s="117">
        <v>55.5</v>
      </c>
      <c r="G13" s="117">
        <v>58.3</v>
      </c>
      <c r="H13" s="117">
        <v>58.23293172690763</v>
      </c>
      <c r="I13" s="65">
        <f>D48</f>
        <v>43.060498220640568</v>
      </c>
      <c r="J13" s="25">
        <f t="shared" si="0"/>
        <v>-15.172433506267062</v>
      </c>
    </row>
    <row r="14" spans="1:10" x14ac:dyDescent="0.2">
      <c r="A14" s="58" t="str">
        <f>A10</f>
        <v>苦しくなった</v>
      </c>
      <c r="B14" s="120">
        <v>46.1</v>
      </c>
      <c r="C14" s="119">
        <v>37.254901960784316</v>
      </c>
      <c r="D14" s="119">
        <v>37.9</v>
      </c>
      <c r="E14" s="119">
        <v>40.700000000000003</v>
      </c>
      <c r="F14" s="119">
        <v>38.6</v>
      </c>
      <c r="G14" s="119">
        <v>38.799999999999997</v>
      </c>
      <c r="H14" s="119">
        <v>38.152610441767074</v>
      </c>
      <c r="I14" s="66">
        <f>E48</f>
        <v>51.245551601423486</v>
      </c>
      <c r="J14" s="25">
        <f t="shared" si="0"/>
        <v>13.092941159656412</v>
      </c>
    </row>
    <row r="15" spans="1:10" x14ac:dyDescent="0.2">
      <c r="A15" s="11" t="s">
        <v>15</v>
      </c>
      <c r="B15" s="53" t="s">
        <v>156</v>
      </c>
      <c r="C15" s="52" t="s">
        <v>173</v>
      </c>
      <c r="D15" s="52" t="s">
        <v>184</v>
      </c>
      <c r="E15" s="52" t="s">
        <v>185</v>
      </c>
      <c r="F15" s="52" t="s">
        <v>186</v>
      </c>
      <c r="G15" s="52" t="s">
        <v>245</v>
      </c>
      <c r="H15" s="55" t="s">
        <v>249</v>
      </c>
      <c r="I15" s="55" t="s">
        <v>251</v>
      </c>
      <c r="J15" s="25"/>
    </row>
    <row r="16" spans="1:10" x14ac:dyDescent="0.2">
      <c r="A16" s="56" t="str">
        <f>A12</f>
        <v>楽になった</v>
      </c>
      <c r="B16" s="116">
        <v>2.6</v>
      </c>
      <c r="C16" s="115">
        <v>3.296703296703297</v>
      </c>
      <c r="D16" s="115">
        <v>4.5999999999999996</v>
      </c>
      <c r="E16" s="115">
        <v>3.3</v>
      </c>
      <c r="F16" s="115">
        <v>3.5</v>
      </c>
      <c r="G16" s="115">
        <v>1.9</v>
      </c>
      <c r="H16" s="115">
        <v>1.6</v>
      </c>
      <c r="I16" s="64">
        <f>C50</f>
        <v>0.9375</v>
      </c>
      <c r="J16" s="25">
        <f t="shared" si="0"/>
        <v>-0.66250000000000009</v>
      </c>
    </row>
    <row r="17" spans="1:14" x14ac:dyDescent="0.2">
      <c r="A17" s="57" t="str">
        <f>A13</f>
        <v>かわらない</v>
      </c>
      <c r="B17" s="118">
        <v>53.3</v>
      </c>
      <c r="C17" s="117">
        <v>57.509157509157504</v>
      </c>
      <c r="D17" s="117">
        <v>52.9</v>
      </c>
      <c r="E17" s="117">
        <v>53.8</v>
      </c>
      <c r="F17" s="117">
        <v>55.8</v>
      </c>
      <c r="G17" s="117">
        <v>51.5</v>
      </c>
      <c r="H17" s="117">
        <v>56.000000000000007</v>
      </c>
      <c r="I17" s="65">
        <f>D50</f>
        <v>45.3125</v>
      </c>
      <c r="J17" s="25">
        <f t="shared" si="0"/>
        <v>-10.687500000000007</v>
      </c>
    </row>
    <row r="18" spans="1:14" x14ac:dyDescent="0.2">
      <c r="A18" s="58" t="str">
        <f>A14</f>
        <v>苦しくなった</v>
      </c>
      <c r="B18" s="120">
        <v>43.4</v>
      </c>
      <c r="C18" s="119">
        <v>38.827838827838832</v>
      </c>
      <c r="D18" s="119">
        <v>41.3</v>
      </c>
      <c r="E18" s="119">
        <v>41</v>
      </c>
      <c r="F18" s="119">
        <v>40</v>
      </c>
      <c r="G18" s="119">
        <v>45.8</v>
      </c>
      <c r="H18" s="119">
        <v>39.200000000000003</v>
      </c>
      <c r="I18" s="66">
        <f>E50</f>
        <v>52.1875</v>
      </c>
      <c r="J18" s="25">
        <f t="shared" si="0"/>
        <v>12.987499999999997</v>
      </c>
    </row>
    <row r="19" spans="1:14" x14ac:dyDescent="0.2">
      <c r="A19" s="11" t="s">
        <v>16</v>
      </c>
      <c r="B19" s="53" t="s">
        <v>156</v>
      </c>
      <c r="C19" s="52" t="s">
        <v>173</v>
      </c>
      <c r="D19" s="52" t="s">
        <v>184</v>
      </c>
      <c r="E19" s="52" t="s">
        <v>185</v>
      </c>
      <c r="F19" s="52" t="s">
        <v>186</v>
      </c>
      <c r="G19" s="52" t="s">
        <v>245</v>
      </c>
      <c r="H19" s="55" t="s">
        <v>249</v>
      </c>
      <c r="I19" s="55" t="s">
        <v>251</v>
      </c>
      <c r="J19" s="25"/>
    </row>
    <row r="20" spans="1:14" x14ac:dyDescent="0.2">
      <c r="A20" s="56" t="str">
        <f>A16</f>
        <v>楽になった</v>
      </c>
      <c r="B20" s="116">
        <v>1</v>
      </c>
      <c r="C20" s="115">
        <v>2.4767801857585141</v>
      </c>
      <c r="D20" s="115">
        <v>2.7</v>
      </c>
      <c r="E20" s="115">
        <v>2.7</v>
      </c>
      <c r="F20" s="115">
        <v>1</v>
      </c>
      <c r="G20" s="115">
        <v>0.7</v>
      </c>
      <c r="H20" s="115">
        <v>1.8237082066869299</v>
      </c>
      <c r="I20" s="64">
        <f>C52</f>
        <v>1.4204545454545454</v>
      </c>
      <c r="J20" s="25">
        <f t="shared" si="0"/>
        <v>-0.40325366123238449</v>
      </c>
    </row>
    <row r="21" spans="1:14" x14ac:dyDescent="0.2">
      <c r="A21" s="57" t="str">
        <f>A17</f>
        <v>かわらない</v>
      </c>
      <c r="B21" s="118">
        <v>46.5</v>
      </c>
      <c r="C21" s="117">
        <v>50.464396284829725</v>
      </c>
      <c r="D21" s="117">
        <v>49.2</v>
      </c>
      <c r="E21" s="117">
        <v>53</v>
      </c>
      <c r="F21" s="117">
        <v>52.1</v>
      </c>
      <c r="G21" s="117">
        <v>52.7</v>
      </c>
      <c r="H21" s="117">
        <v>56.534954407294833</v>
      </c>
      <c r="I21" s="65">
        <f>D52</f>
        <v>48.011363636363633</v>
      </c>
      <c r="J21" s="25">
        <f t="shared" si="0"/>
        <v>-8.5235907709312002</v>
      </c>
    </row>
    <row r="22" spans="1:14" x14ac:dyDescent="0.2">
      <c r="A22" s="58" t="str">
        <f>A18</f>
        <v>苦しくなった</v>
      </c>
      <c r="B22" s="120">
        <v>52.1</v>
      </c>
      <c r="C22" s="119">
        <v>44.582043343653247</v>
      </c>
      <c r="D22" s="119">
        <v>46.3</v>
      </c>
      <c r="E22" s="119">
        <v>43</v>
      </c>
      <c r="F22" s="119">
        <v>43.7</v>
      </c>
      <c r="G22" s="119">
        <v>45.6</v>
      </c>
      <c r="H22" s="119">
        <v>39.209726443769</v>
      </c>
      <c r="I22" s="66">
        <f>E52</f>
        <v>49.43181818181818</v>
      </c>
      <c r="J22" s="25">
        <f t="shared" si="0"/>
        <v>10.22209173804918</v>
      </c>
    </row>
    <row r="23" spans="1:14" x14ac:dyDescent="0.2">
      <c r="A23" s="11" t="s">
        <v>17</v>
      </c>
      <c r="B23" s="53" t="s">
        <v>156</v>
      </c>
      <c r="C23" s="52" t="s">
        <v>173</v>
      </c>
      <c r="D23" s="52" t="s">
        <v>184</v>
      </c>
      <c r="E23" s="52" t="s">
        <v>185</v>
      </c>
      <c r="F23" s="52" t="s">
        <v>186</v>
      </c>
      <c r="G23" s="52" t="s">
        <v>245</v>
      </c>
      <c r="H23" s="55" t="s">
        <v>249</v>
      </c>
      <c r="I23" s="55" t="s">
        <v>251</v>
      </c>
      <c r="J23" s="25"/>
    </row>
    <row r="24" spans="1:14" x14ac:dyDescent="0.2">
      <c r="A24" s="56" t="str">
        <f>A20</f>
        <v>楽になった</v>
      </c>
      <c r="B24" s="116">
        <v>1.5</v>
      </c>
      <c r="C24" s="115">
        <v>2.3178807947019866</v>
      </c>
      <c r="D24" s="115">
        <v>0.8</v>
      </c>
      <c r="E24" s="115">
        <v>3.9</v>
      </c>
      <c r="F24" s="115">
        <v>2</v>
      </c>
      <c r="G24" s="115">
        <v>1.9</v>
      </c>
      <c r="H24" s="115">
        <v>1.0471204188481675</v>
      </c>
      <c r="I24" s="64">
        <f>C54</f>
        <v>1.2698412698412698</v>
      </c>
      <c r="J24" s="25">
        <f t="shared" si="0"/>
        <v>0.22272085099310224</v>
      </c>
    </row>
    <row r="25" spans="1:14" x14ac:dyDescent="0.2">
      <c r="A25" s="57" t="str">
        <f>A21</f>
        <v>かわらない</v>
      </c>
      <c r="B25" s="118">
        <v>51.5</v>
      </c>
      <c r="C25" s="117">
        <v>53.311258278145687</v>
      </c>
      <c r="D25" s="117">
        <v>52.1</v>
      </c>
      <c r="E25" s="117">
        <v>52.1</v>
      </c>
      <c r="F25" s="117">
        <v>56.6</v>
      </c>
      <c r="G25" s="117">
        <v>57.5</v>
      </c>
      <c r="H25" s="117">
        <v>66.230366492146601</v>
      </c>
      <c r="I25" s="65">
        <f>D54</f>
        <v>44.444444444444443</v>
      </c>
      <c r="J25" s="25">
        <f t="shared" si="0"/>
        <v>-21.785922047702158</v>
      </c>
    </row>
    <row r="26" spans="1:14" x14ac:dyDescent="0.2">
      <c r="A26" s="58" t="str">
        <f>A22</f>
        <v>苦しくなった</v>
      </c>
      <c r="B26" s="120">
        <v>45.5</v>
      </c>
      <c r="C26" s="119">
        <v>41.721854304635762</v>
      </c>
      <c r="D26" s="119">
        <v>43.8</v>
      </c>
      <c r="E26" s="119">
        <v>41</v>
      </c>
      <c r="F26" s="119">
        <v>37</v>
      </c>
      <c r="G26" s="119">
        <v>35.1</v>
      </c>
      <c r="H26" s="119">
        <v>31.413612565445025</v>
      </c>
      <c r="I26" s="66">
        <f>E54</f>
        <v>52.698412698412703</v>
      </c>
      <c r="J26" s="25">
        <f t="shared" si="0"/>
        <v>21.284800132967678</v>
      </c>
    </row>
    <row r="28" spans="1:14" x14ac:dyDescent="0.2">
      <c r="A28" s="3" t="s">
        <v>18</v>
      </c>
      <c r="B28" s="1" t="str">
        <f>B1</f>
        <v>くらしの前年比較</v>
      </c>
      <c r="C28" s="8"/>
      <c r="D28" s="189"/>
      <c r="E28" s="8"/>
      <c r="F28" s="8"/>
      <c r="G28" s="9" t="s">
        <v>19</v>
      </c>
    </row>
    <row r="29" spans="1:14" ht="21.6" x14ac:dyDescent="0.2">
      <c r="A29" s="12" t="s">
        <v>20</v>
      </c>
      <c r="B29" s="59" t="s">
        <v>3</v>
      </c>
      <c r="C29" s="60" t="s">
        <v>21</v>
      </c>
      <c r="D29" s="61" t="s">
        <v>13</v>
      </c>
      <c r="E29" s="62" t="s">
        <v>22</v>
      </c>
      <c r="F29" s="61" t="s">
        <v>23</v>
      </c>
      <c r="G29" s="63" t="s">
        <v>0</v>
      </c>
      <c r="H29" s="21" t="s">
        <v>32</v>
      </c>
      <c r="I29" s="12" t="str">
        <f>A29</f>
        <v>【性別】</v>
      </c>
      <c r="J29" s="60" t="str">
        <f>C29</f>
        <v>楽になった</v>
      </c>
      <c r="K29" s="61" t="str">
        <f t="shared" ref="K29:N29" si="1">D29</f>
        <v>かわらない</v>
      </c>
      <c r="L29" s="62" t="str">
        <f t="shared" si="1"/>
        <v>苦しくなった</v>
      </c>
      <c r="M29" s="61" t="str">
        <f t="shared" si="1"/>
        <v>わからない</v>
      </c>
      <c r="N29" s="63" t="str">
        <f t="shared" si="1"/>
        <v>無回答</v>
      </c>
    </row>
    <row r="30" spans="1:14" ht="13.5" customHeight="1" x14ac:dyDescent="0.2">
      <c r="A30" s="277" t="str">
        <f>"全体(n = "&amp;B30&amp;" )　　"</f>
        <v>全体(n = 1,616 )　　</v>
      </c>
      <c r="B30" s="223" t="s">
        <v>250</v>
      </c>
      <c r="C30" s="31">
        <v>32</v>
      </c>
      <c r="D30" s="32">
        <v>730</v>
      </c>
      <c r="E30" s="32">
        <v>813</v>
      </c>
      <c r="F30" s="32">
        <v>40</v>
      </c>
      <c r="G30" s="33">
        <v>1</v>
      </c>
      <c r="H30" s="7"/>
      <c r="I30" s="67" t="str">
        <f>A30</f>
        <v>全体(n = 1,616 )　　</v>
      </c>
      <c r="J30" s="70">
        <f>C31</f>
        <v>1.9801980198019802</v>
      </c>
      <c r="K30" s="71">
        <f t="shared" ref="K30:N30" si="2">D31</f>
        <v>45.173267326732677</v>
      </c>
      <c r="L30" s="72">
        <f t="shared" si="2"/>
        <v>50.309405940594054</v>
      </c>
      <c r="M30" s="71">
        <f t="shared" si="2"/>
        <v>2.4752475247524752</v>
      </c>
      <c r="N30" s="73">
        <f t="shared" si="2"/>
        <v>6.1881188118811881E-2</v>
      </c>
    </row>
    <row r="31" spans="1:14" ht="13.5" customHeight="1" x14ac:dyDescent="0.2">
      <c r="A31" s="278"/>
      <c r="B31" s="20"/>
      <c r="C31" s="20">
        <f>C30/$B$30*100</f>
        <v>1.9801980198019802</v>
      </c>
      <c r="D31" s="207">
        <f t="shared" ref="D31:F31" si="3">D30/$B$30*100</f>
        <v>45.173267326732677</v>
      </c>
      <c r="E31" s="207">
        <f t="shared" si="3"/>
        <v>50.309405940594054</v>
      </c>
      <c r="F31" s="207">
        <f t="shared" si="3"/>
        <v>2.4752475247524752</v>
      </c>
      <c r="G31" s="208">
        <f>G30/$B30*100</f>
        <v>6.1881188118811881E-2</v>
      </c>
      <c r="H31" s="7"/>
      <c r="I31" s="68" t="str">
        <f>A32</f>
        <v>男性(n = 705 )　　</v>
      </c>
      <c r="J31" s="74">
        <f>C33</f>
        <v>1.9858156028368796</v>
      </c>
      <c r="K31" s="75">
        <f t="shared" ref="K31:N31" si="4">D33</f>
        <v>44.539007092198581</v>
      </c>
      <c r="L31" s="76">
        <f t="shared" si="4"/>
        <v>52.056737588652481</v>
      </c>
      <c r="M31" s="75">
        <f t="shared" si="4"/>
        <v>1.4184397163120568</v>
      </c>
      <c r="N31" s="77">
        <f t="shared" si="4"/>
        <v>0</v>
      </c>
    </row>
    <row r="32" spans="1:14" ht="13.5" customHeight="1" x14ac:dyDescent="0.2">
      <c r="A32" s="273" t="str">
        <f>"男性(n = "&amp;B32&amp;" )　　"</f>
        <v>男性(n = 705 )　　</v>
      </c>
      <c r="B32" s="34">
        <f>SUM(C32:G32)</f>
        <v>705</v>
      </c>
      <c r="C32" s="28">
        <v>14</v>
      </c>
      <c r="D32" s="29">
        <v>314</v>
      </c>
      <c r="E32" s="29">
        <v>367</v>
      </c>
      <c r="F32" s="29">
        <v>10</v>
      </c>
      <c r="G32" s="30">
        <v>0</v>
      </c>
      <c r="H32" s="170"/>
      <c r="I32" s="69" t="str">
        <f>A34</f>
        <v>女性(n = 901 )　　</v>
      </c>
      <c r="J32" s="78">
        <f>C35</f>
        <v>1.9977802441731412</v>
      </c>
      <c r="K32" s="79">
        <f t="shared" ref="K32:N32" si="5">D35</f>
        <v>45.72697003329634</v>
      </c>
      <c r="L32" s="80">
        <f t="shared" si="5"/>
        <v>48.945615982241954</v>
      </c>
      <c r="M32" s="79">
        <f t="shared" si="5"/>
        <v>3.2186459489456158</v>
      </c>
      <c r="N32" s="81">
        <f t="shared" si="5"/>
        <v>0.11098779134295228</v>
      </c>
    </row>
    <row r="33" spans="1:14" x14ac:dyDescent="0.2">
      <c r="A33" s="274"/>
      <c r="B33" s="20">
        <f>B32/$B$30*100</f>
        <v>43.626237623762378</v>
      </c>
      <c r="C33" s="20">
        <f>C32/$B$32*100</f>
        <v>1.9858156028368796</v>
      </c>
      <c r="D33" s="207">
        <f t="shared" ref="D33:F33" si="6">D32/$B$32*100</f>
        <v>44.539007092198581</v>
      </c>
      <c r="E33" s="207">
        <f t="shared" si="6"/>
        <v>52.056737588652481</v>
      </c>
      <c r="F33" s="207">
        <f t="shared" si="6"/>
        <v>1.4184397163120568</v>
      </c>
      <c r="G33" s="208">
        <f>G32/$B32*100</f>
        <v>0</v>
      </c>
      <c r="H33" s="2"/>
    </row>
    <row r="34" spans="1:14" ht="13.5" customHeight="1" x14ac:dyDescent="0.2">
      <c r="A34" s="273" t="str">
        <f>"女性(n = "&amp;B34&amp;" )　　"</f>
        <v>女性(n = 901 )　　</v>
      </c>
      <c r="B34" s="34">
        <f>SUM(C34:G34)</f>
        <v>901</v>
      </c>
      <c r="C34" s="28">
        <v>18</v>
      </c>
      <c r="D34" s="29">
        <v>412</v>
      </c>
      <c r="E34" s="29">
        <v>441</v>
      </c>
      <c r="F34" s="29">
        <v>29</v>
      </c>
      <c r="G34" s="30">
        <v>1</v>
      </c>
      <c r="H34" s="170"/>
    </row>
    <row r="35" spans="1:14" x14ac:dyDescent="0.2">
      <c r="A35" s="274"/>
      <c r="B35" s="20">
        <f>B34/$B$30*100</f>
        <v>55.754950495049506</v>
      </c>
      <c r="C35" s="20">
        <f>C34/$B34*100</f>
        <v>1.9977802441731412</v>
      </c>
      <c r="D35" s="207">
        <f t="shared" ref="D35:F35" si="7">D34/$B34*100</f>
        <v>45.72697003329634</v>
      </c>
      <c r="E35" s="207">
        <f t="shared" si="7"/>
        <v>48.945615982241954</v>
      </c>
      <c r="F35" s="207">
        <f t="shared" si="7"/>
        <v>3.2186459489456158</v>
      </c>
      <c r="G35" s="208">
        <f>G34/$B34*100</f>
        <v>0.11098779134295228</v>
      </c>
    </row>
    <row r="36" spans="1:14" x14ac:dyDescent="0.2">
      <c r="C36" s="168">
        <v>1</v>
      </c>
      <c r="D36" s="168">
        <v>2</v>
      </c>
      <c r="E36" s="168">
        <v>3</v>
      </c>
      <c r="F36" s="168">
        <v>4</v>
      </c>
    </row>
    <row r="37" spans="1:14" x14ac:dyDescent="0.2">
      <c r="A37" s="3" t="s">
        <v>24</v>
      </c>
      <c r="B37" s="1" t="str">
        <f>B28</f>
        <v>くらしの前年比較</v>
      </c>
      <c r="C37" s="8"/>
      <c r="D37" s="8"/>
      <c r="E37" s="8"/>
      <c r="F37" s="8"/>
      <c r="G37" s="9" t="s">
        <v>1</v>
      </c>
    </row>
    <row r="38" spans="1:14" ht="21.6" x14ac:dyDescent="0.2">
      <c r="A38" s="12" t="s">
        <v>25</v>
      </c>
      <c r="B38" s="59" t="str">
        <f>B29</f>
        <v>調査数</v>
      </c>
      <c r="C38" s="60" t="str">
        <f>C29</f>
        <v>楽になった</v>
      </c>
      <c r="D38" s="61" t="str">
        <f>D29</f>
        <v>かわらない</v>
      </c>
      <c r="E38" s="62" t="str">
        <f>E29</f>
        <v>苦しくなった</v>
      </c>
      <c r="F38" s="61" t="str">
        <f>F29</f>
        <v>わからない</v>
      </c>
      <c r="G38" s="63" t="str">
        <f>G29</f>
        <v>無回答</v>
      </c>
      <c r="H38" s="21" t="s">
        <v>32</v>
      </c>
      <c r="I38" s="12" t="str">
        <f>A38</f>
        <v>【年代別】</v>
      </c>
      <c r="J38" s="60" t="str">
        <f>C38</f>
        <v>楽になった</v>
      </c>
      <c r="K38" s="61" t="str">
        <f t="shared" ref="K38:N38" si="8">D38</f>
        <v>かわらない</v>
      </c>
      <c r="L38" s="62" t="str">
        <f t="shared" si="8"/>
        <v>苦しくなった</v>
      </c>
      <c r="M38" s="61" t="str">
        <f t="shared" si="8"/>
        <v>わからない</v>
      </c>
      <c r="N38" s="63" t="str">
        <f t="shared" si="8"/>
        <v>無回答</v>
      </c>
    </row>
    <row r="39" spans="1:14" ht="13.5" customHeight="1" x14ac:dyDescent="0.2">
      <c r="A39" s="275" t="str">
        <f>"全体(n = "&amp;B39&amp;" )　　"</f>
        <v>全体(n = 1,616 )　　</v>
      </c>
      <c r="B39" s="223" t="s">
        <v>250</v>
      </c>
      <c r="C39" s="31">
        <f>$C$30</f>
        <v>32</v>
      </c>
      <c r="D39" s="32">
        <f>$D$30</f>
        <v>730</v>
      </c>
      <c r="E39" s="32">
        <f>$E$30</f>
        <v>813</v>
      </c>
      <c r="F39" s="32">
        <f>$F$30</f>
        <v>40</v>
      </c>
      <c r="G39" s="33">
        <f>$G$30</f>
        <v>1</v>
      </c>
      <c r="I39" s="67" t="str">
        <f>A39</f>
        <v>全体(n = 1,616 )　　</v>
      </c>
      <c r="J39" s="70">
        <f>C40</f>
        <v>1.9801980198019802</v>
      </c>
      <c r="K39" s="71">
        <f t="shared" ref="K39:N39" si="9">D40</f>
        <v>45.173267326732677</v>
      </c>
      <c r="L39" s="72">
        <f t="shared" si="9"/>
        <v>50.309405940594054</v>
      </c>
      <c r="M39" s="71">
        <f t="shared" si="9"/>
        <v>2.4752475247524752</v>
      </c>
      <c r="N39" s="73">
        <f t="shared" si="9"/>
        <v>6.1881188118811881E-2</v>
      </c>
    </row>
    <row r="40" spans="1:14" ht="13.5" customHeight="1" x14ac:dyDescent="0.2">
      <c r="A40" s="276"/>
      <c r="B40" s="20"/>
      <c r="C40" s="20">
        <f>C39/$B$39*100</f>
        <v>1.9801980198019802</v>
      </c>
      <c r="D40" s="207">
        <f t="shared" ref="D40:F40" si="10">D39/$B$39*100</f>
        <v>45.173267326732677</v>
      </c>
      <c r="E40" s="207">
        <f t="shared" si="10"/>
        <v>50.309405940594054</v>
      </c>
      <c r="F40" s="207">
        <f t="shared" si="10"/>
        <v>2.4752475247524752</v>
      </c>
      <c r="G40" s="208">
        <f>G39/$B39*100</f>
        <v>6.1881188118811881E-2</v>
      </c>
      <c r="I40" s="82" t="str">
        <f>A41</f>
        <v>18～19歳(n = 21 )　　</v>
      </c>
      <c r="J40" s="84">
        <f>C42</f>
        <v>4.7619047619047619</v>
      </c>
      <c r="K40" s="85">
        <f t="shared" ref="K40:N40" si="11">D42</f>
        <v>52.380952380952387</v>
      </c>
      <c r="L40" s="86">
        <f t="shared" si="11"/>
        <v>33.333333333333329</v>
      </c>
      <c r="M40" s="85">
        <f t="shared" si="11"/>
        <v>9.5238095238095237</v>
      </c>
      <c r="N40" s="87">
        <f t="shared" si="11"/>
        <v>0</v>
      </c>
    </row>
    <row r="41" spans="1:14" ht="13.5" customHeight="1" x14ac:dyDescent="0.2">
      <c r="A41" s="273" t="str">
        <f>"18～19歳(n = "&amp;B41&amp;" )　　"</f>
        <v>18～19歳(n = 21 )　　</v>
      </c>
      <c r="B41" s="34">
        <f>SUM(C41:G41)</f>
        <v>21</v>
      </c>
      <c r="C41" s="28">
        <v>1</v>
      </c>
      <c r="D41" s="29">
        <v>11</v>
      </c>
      <c r="E41" s="29">
        <v>7</v>
      </c>
      <c r="F41" s="29">
        <v>2</v>
      </c>
      <c r="G41" s="30">
        <v>0</v>
      </c>
      <c r="H41" s="170">
        <v>1</v>
      </c>
      <c r="I41" s="83" t="str">
        <f>A43</f>
        <v>20～29歳(n = 119 )　　</v>
      </c>
      <c r="J41" s="88">
        <f>C44</f>
        <v>7.5630252100840334</v>
      </c>
      <c r="K41" s="89">
        <f t="shared" ref="K41:N41" si="12">D44</f>
        <v>51.260504201680668</v>
      </c>
      <c r="L41" s="90">
        <f t="shared" si="12"/>
        <v>36.134453781512605</v>
      </c>
      <c r="M41" s="89">
        <f t="shared" si="12"/>
        <v>4.2016806722689077</v>
      </c>
      <c r="N41" s="91">
        <f t="shared" si="12"/>
        <v>0.84033613445378152</v>
      </c>
    </row>
    <row r="42" spans="1:14" ht="13.5" customHeight="1" x14ac:dyDescent="0.2">
      <c r="A42" s="274"/>
      <c r="B42" s="20">
        <f>B41/$B$39*100</f>
        <v>1.2995049504950495</v>
      </c>
      <c r="C42" s="20">
        <f t="shared" ref="C42:F42" si="13">C41/$B41*100</f>
        <v>4.7619047619047619</v>
      </c>
      <c r="D42" s="207">
        <f t="shared" si="13"/>
        <v>52.380952380952387</v>
      </c>
      <c r="E42" s="207">
        <f t="shared" si="13"/>
        <v>33.333333333333329</v>
      </c>
      <c r="F42" s="207">
        <f t="shared" si="13"/>
        <v>9.5238095238095237</v>
      </c>
      <c r="G42" s="208">
        <f>G41/$B41*100</f>
        <v>0</v>
      </c>
      <c r="H42" s="2"/>
      <c r="I42" s="83" t="str">
        <f>A45</f>
        <v>30～39歳(n = 196 )　　</v>
      </c>
      <c r="J42" s="88">
        <f>C46</f>
        <v>1.0204081632653061</v>
      </c>
      <c r="K42" s="89">
        <f t="shared" ref="K42:N42" si="14">D46</f>
        <v>40.816326530612244</v>
      </c>
      <c r="L42" s="90">
        <f t="shared" si="14"/>
        <v>53.061224489795919</v>
      </c>
      <c r="M42" s="89">
        <f t="shared" si="14"/>
        <v>5.1020408163265305</v>
      </c>
      <c r="N42" s="91">
        <f t="shared" si="14"/>
        <v>0</v>
      </c>
    </row>
    <row r="43" spans="1:14" ht="13.5" customHeight="1" x14ac:dyDescent="0.2">
      <c r="A43" s="273" t="str">
        <f>"20～29歳(n = "&amp;B43&amp;" )　　"</f>
        <v>20～29歳(n = 119 )　　</v>
      </c>
      <c r="B43" s="34">
        <f>SUM(C43:G43)</f>
        <v>119</v>
      </c>
      <c r="C43" s="31">
        <v>9</v>
      </c>
      <c r="D43" s="32">
        <v>61</v>
      </c>
      <c r="E43" s="32">
        <v>43</v>
      </c>
      <c r="F43" s="32">
        <v>5</v>
      </c>
      <c r="G43" s="33">
        <v>1</v>
      </c>
      <c r="H43" s="170">
        <v>2</v>
      </c>
      <c r="I43" s="83" t="str">
        <f>A47</f>
        <v>40～49歳(n = 281 )　　</v>
      </c>
      <c r="J43" s="88">
        <f>C48</f>
        <v>2.8469750889679712</v>
      </c>
      <c r="K43" s="89">
        <f t="shared" ref="K43:N43" si="15">D48</f>
        <v>43.060498220640568</v>
      </c>
      <c r="L43" s="90">
        <f t="shared" si="15"/>
        <v>51.245551601423486</v>
      </c>
      <c r="M43" s="89">
        <f t="shared" si="15"/>
        <v>2.8469750889679712</v>
      </c>
      <c r="N43" s="91">
        <f t="shared" si="15"/>
        <v>0</v>
      </c>
    </row>
    <row r="44" spans="1:14" ht="13.5" customHeight="1" x14ac:dyDescent="0.2">
      <c r="A44" s="274"/>
      <c r="B44" s="20">
        <f>B43/$B$39*100</f>
        <v>7.3638613861386135</v>
      </c>
      <c r="C44" s="20">
        <f t="shared" ref="C44:F44" si="16">C43/$B43*100</f>
        <v>7.5630252100840334</v>
      </c>
      <c r="D44" s="207">
        <f t="shared" si="16"/>
        <v>51.260504201680668</v>
      </c>
      <c r="E44" s="207">
        <f t="shared" si="16"/>
        <v>36.134453781512605</v>
      </c>
      <c r="F44" s="207">
        <f t="shared" si="16"/>
        <v>4.2016806722689077</v>
      </c>
      <c r="G44" s="208">
        <f>G43/$B43*100</f>
        <v>0.84033613445378152</v>
      </c>
      <c r="H44" s="2"/>
      <c r="I44" s="83" t="str">
        <f>A49</f>
        <v>50～59歳(n = 320 )　　</v>
      </c>
      <c r="J44" s="88">
        <f>C50</f>
        <v>0.9375</v>
      </c>
      <c r="K44" s="89">
        <f t="shared" ref="K44:N44" si="17">D50</f>
        <v>45.3125</v>
      </c>
      <c r="L44" s="90">
        <f t="shared" si="17"/>
        <v>52.1875</v>
      </c>
      <c r="M44" s="89">
        <f t="shared" si="17"/>
        <v>1.5625</v>
      </c>
      <c r="N44" s="91">
        <f t="shared" si="17"/>
        <v>0</v>
      </c>
    </row>
    <row r="45" spans="1:14" ht="13.5" customHeight="1" x14ac:dyDescent="0.2">
      <c r="A45" s="273" t="str">
        <f>"30～39歳(n = "&amp;B45&amp;" )　　"</f>
        <v>30～39歳(n = 196 )　　</v>
      </c>
      <c r="B45" s="34">
        <f>SUM(C45:G45)</f>
        <v>196</v>
      </c>
      <c r="C45" s="28">
        <v>2</v>
      </c>
      <c r="D45" s="29">
        <v>80</v>
      </c>
      <c r="E45" s="29">
        <v>104</v>
      </c>
      <c r="F45" s="29">
        <v>10</v>
      </c>
      <c r="G45" s="30">
        <v>0</v>
      </c>
      <c r="H45" s="170">
        <v>3</v>
      </c>
      <c r="I45" s="83" t="str">
        <f>A51</f>
        <v>60～69歳(n = 352 )　　</v>
      </c>
      <c r="J45" s="88">
        <f>C52</f>
        <v>1.4204545454545454</v>
      </c>
      <c r="K45" s="89">
        <f t="shared" ref="K45:N45" si="18">D52</f>
        <v>48.011363636363633</v>
      </c>
      <c r="L45" s="90">
        <f t="shared" si="18"/>
        <v>49.43181818181818</v>
      </c>
      <c r="M45" s="89">
        <f t="shared" si="18"/>
        <v>1.1363636363636365</v>
      </c>
      <c r="N45" s="91">
        <f t="shared" si="18"/>
        <v>0</v>
      </c>
    </row>
    <row r="46" spans="1:14" ht="13.5" customHeight="1" x14ac:dyDescent="0.2">
      <c r="A46" s="274"/>
      <c r="B46" s="20">
        <f>B45/$B$39*100</f>
        <v>12.128712871287128</v>
      </c>
      <c r="C46" s="20">
        <f t="shared" ref="C46:F46" si="19">C45/$B45*100</f>
        <v>1.0204081632653061</v>
      </c>
      <c r="D46" s="207">
        <f t="shared" si="19"/>
        <v>40.816326530612244</v>
      </c>
      <c r="E46" s="207">
        <f t="shared" si="19"/>
        <v>53.061224489795919</v>
      </c>
      <c r="F46" s="207">
        <f t="shared" si="19"/>
        <v>5.1020408163265305</v>
      </c>
      <c r="G46" s="208">
        <f>G45/$B45*100</f>
        <v>0</v>
      </c>
      <c r="H46" s="2"/>
      <c r="I46" s="69" t="str">
        <f>A53</f>
        <v>70歳以上(n = 315 )　　</v>
      </c>
      <c r="J46" s="78">
        <f>C54</f>
        <v>1.2698412698412698</v>
      </c>
      <c r="K46" s="79">
        <f t="shared" ref="K46:N46" si="20">D54</f>
        <v>44.444444444444443</v>
      </c>
      <c r="L46" s="80">
        <f t="shared" si="20"/>
        <v>52.698412698412703</v>
      </c>
      <c r="M46" s="79">
        <f t="shared" si="20"/>
        <v>1.5873015873015872</v>
      </c>
      <c r="N46" s="81">
        <f t="shared" si="20"/>
        <v>0</v>
      </c>
    </row>
    <row r="47" spans="1:14" ht="13.5" customHeight="1" x14ac:dyDescent="0.2">
      <c r="A47" s="273" t="str">
        <f>"40～49歳(n = "&amp;B47&amp;" )　　"</f>
        <v>40～49歳(n = 281 )　　</v>
      </c>
      <c r="B47" s="34">
        <f>SUM(C47:G47)</f>
        <v>281</v>
      </c>
      <c r="C47" s="28">
        <v>8</v>
      </c>
      <c r="D47" s="29">
        <v>121</v>
      </c>
      <c r="E47" s="29">
        <v>144</v>
      </c>
      <c r="F47" s="29">
        <v>8</v>
      </c>
      <c r="G47" s="30">
        <v>0</v>
      </c>
      <c r="H47" s="170">
        <v>4</v>
      </c>
    </row>
    <row r="48" spans="1:14" x14ac:dyDescent="0.2">
      <c r="A48" s="274"/>
      <c r="B48" s="20">
        <f t="shared" ref="B48" si="21">B47/$B$39*100</f>
        <v>17.388613861386137</v>
      </c>
      <c r="C48" s="20">
        <f t="shared" ref="C48:F48" si="22">C47/$B47*100</f>
        <v>2.8469750889679712</v>
      </c>
      <c r="D48" s="207">
        <f t="shared" si="22"/>
        <v>43.060498220640568</v>
      </c>
      <c r="E48" s="207">
        <f t="shared" si="22"/>
        <v>51.245551601423486</v>
      </c>
      <c r="F48" s="207">
        <f t="shared" si="22"/>
        <v>2.8469750889679712</v>
      </c>
      <c r="G48" s="208">
        <f>G47/$B47*100</f>
        <v>0</v>
      </c>
      <c r="H48" s="2"/>
    </row>
    <row r="49" spans="1:14" ht="13.5" customHeight="1" x14ac:dyDescent="0.2">
      <c r="A49" s="273" t="str">
        <f>"50～59歳(n = "&amp;B49&amp;" )　　"</f>
        <v>50～59歳(n = 320 )　　</v>
      </c>
      <c r="B49" s="34">
        <f>SUM(C49:G49)</f>
        <v>320</v>
      </c>
      <c r="C49" s="28">
        <v>3</v>
      </c>
      <c r="D49" s="29">
        <v>145</v>
      </c>
      <c r="E49" s="29">
        <v>167</v>
      </c>
      <c r="F49" s="29">
        <v>5</v>
      </c>
      <c r="G49" s="30">
        <v>0</v>
      </c>
      <c r="H49" s="170">
        <v>5</v>
      </c>
    </row>
    <row r="50" spans="1:14" x14ac:dyDescent="0.2">
      <c r="A50" s="274"/>
      <c r="B50" s="20">
        <f t="shared" ref="B50" si="23">B49/$B$39*100</f>
        <v>19.801980198019802</v>
      </c>
      <c r="C50" s="20">
        <f t="shared" ref="C50:F50" si="24">C49/$B49*100</f>
        <v>0.9375</v>
      </c>
      <c r="D50" s="207">
        <f t="shared" si="24"/>
        <v>45.3125</v>
      </c>
      <c r="E50" s="207">
        <f t="shared" si="24"/>
        <v>52.1875</v>
      </c>
      <c r="F50" s="207">
        <f t="shared" si="24"/>
        <v>1.5625</v>
      </c>
      <c r="G50" s="208">
        <f>G49/$B49*100</f>
        <v>0</v>
      </c>
      <c r="H50" s="2"/>
    </row>
    <row r="51" spans="1:14" ht="13.5" customHeight="1" x14ac:dyDescent="0.2">
      <c r="A51" s="273" t="str">
        <f>"60～69歳(n = "&amp;B51&amp;" )　　"</f>
        <v>60～69歳(n = 352 )　　</v>
      </c>
      <c r="B51" s="34">
        <f>SUM(C51:G51)</f>
        <v>352</v>
      </c>
      <c r="C51" s="28">
        <v>5</v>
      </c>
      <c r="D51" s="29">
        <v>169</v>
      </c>
      <c r="E51" s="29">
        <v>174</v>
      </c>
      <c r="F51" s="29">
        <v>4</v>
      </c>
      <c r="G51" s="30">
        <v>0</v>
      </c>
      <c r="H51" s="170">
        <v>6</v>
      </c>
    </row>
    <row r="52" spans="1:14" x14ac:dyDescent="0.2">
      <c r="A52" s="274"/>
      <c r="B52" s="20">
        <f t="shared" ref="B52" si="25">B51/$B$39*100</f>
        <v>21.782178217821784</v>
      </c>
      <c r="C52" s="20">
        <f t="shared" ref="C52:F52" si="26">C51/$B51*100</f>
        <v>1.4204545454545454</v>
      </c>
      <c r="D52" s="207">
        <f t="shared" si="26"/>
        <v>48.011363636363633</v>
      </c>
      <c r="E52" s="207">
        <f t="shared" si="26"/>
        <v>49.43181818181818</v>
      </c>
      <c r="F52" s="207">
        <f t="shared" si="26"/>
        <v>1.1363636363636365</v>
      </c>
      <c r="G52" s="208">
        <f>G51/$B51*100</f>
        <v>0</v>
      </c>
      <c r="H52" s="2"/>
    </row>
    <row r="53" spans="1:14" ht="13.5" customHeight="1" x14ac:dyDescent="0.2">
      <c r="A53" s="273" t="str">
        <f>"70歳以上(n = "&amp;B53&amp;" )　　"</f>
        <v>70歳以上(n = 315 )　　</v>
      </c>
      <c r="B53" s="34">
        <f>SUM(C53:G53)</f>
        <v>315</v>
      </c>
      <c r="C53" s="28">
        <v>4</v>
      </c>
      <c r="D53" s="29">
        <v>140</v>
      </c>
      <c r="E53" s="29">
        <v>166</v>
      </c>
      <c r="F53" s="29">
        <v>5</v>
      </c>
      <c r="G53" s="30">
        <v>0</v>
      </c>
      <c r="H53" s="170">
        <v>7</v>
      </c>
    </row>
    <row r="54" spans="1:14" x14ac:dyDescent="0.2">
      <c r="A54" s="274"/>
      <c r="B54" s="20">
        <f t="shared" ref="B54" si="27">B53/$B$39*100</f>
        <v>19.492574257425744</v>
      </c>
      <c r="C54" s="20">
        <f t="shared" ref="C54:F54" si="28">C53/$B53*100</f>
        <v>1.2698412698412698</v>
      </c>
      <c r="D54" s="207">
        <f t="shared" si="28"/>
        <v>44.444444444444443</v>
      </c>
      <c r="E54" s="207">
        <f t="shared" si="28"/>
        <v>52.698412698412703</v>
      </c>
      <c r="F54" s="207">
        <f t="shared" si="28"/>
        <v>1.5873015873015872</v>
      </c>
      <c r="G54" s="208">
        <f>G53/$B53*100</f>
        <v>0</v>
      </c>
      <c r="H54" s="2"/>
    </row>
    <row r="55" spans="1:14" x14ac:dyDescent="0.2">
      <c r="A55" s="169"/>
      <c r="B55" s="22"/>
      <c r="C55" s="22"/>
      <c r="D55" s="22"/>
      <c r="E55" s="22"/>
      <c r="F55" s="22"/>
      <c r="G55" s="22"/>
    </row>
    <row r="56" spans="1:14" x14ac:dyDescent="0.2">
      <c r="A56" s="169"/>
      <c r="B56" s="22"/>
      <c r="C56" s="22"/>
      <c r="D56" s="22"/>
      <c r="E56" s="22"/>
      <c r="F56" s="22"/>
      <c r="G56" s="22"/>
    </row>
    <row r="57" spans="1:14" x14ac:dyDescent="0.2">
      <c r="A57" s="169"/>
      <c r="B57" s="22"/>
      <c r="C57" s="22"/>
      <c r="D57" s="22"/>
      <c r="E57" s="22"/>
      <c r="F57" s="22"/>
      <c r="G57" s="22"/>
    </row>
    <row r="58" spans="1:14" x14ac:dyDescent="0.2">
      <c r="A58" s="169"/>
      <c r="B58" s="22"/>
      <c r="C58" s="22"/>
      <c r="D58" s="22"/>
      <c r="E58" s="22"/>
      <c r="F58" s="22"/>
      <c r="G58" s="22"/>
    </row>
    <row r="60" spans="1:14" ht="13.5" customHeight="1" x14ac:dyDescent="0.2">
      <c r="A60" s="3" t="s">
        <v>26</v>
      </c>
      <c r="B60" s="1" t="str">
        <f>B37</f>
        <v>くらしの前年比較</v>
      </c>
      <c r="C60" s="8"/>
      <c r="D60" s="8"/>
      <c r="E60" s="8"/>
      <c r="F60" s="8"/>
      <c r="G60" s="9" t="s">
        <v>19</v>
      </c>
    </row>
    <row r="61" spans="1:14" ht="22.5" customHeight="1" x14ac:dyDescent="0.2">
      <c r="A61" s="13" t="s">
        <v>27</v>
      </c>
      <c r="B61" s="59" t="str">
        <f>B38</f>
        <v>調査数</v>
      </c>
      <c r="C61" s="60" t="str">
        <f>C38</f>
        <v>楽になった</v>
      </c>
      <c r="D61" s="61" t="str">
        <f>D38</f>
        <v>かわらない</v>
      </c>
      <c r="E61" s="62" t="str">
        <f>E38</f>
        <v>苦しくなった</v>
      </c>
      <c r="F61" s="61" t="str">
        <f>F38</f>
        <v>わからない</v>
      </c>
      <c r="G61" s="63" t="str">
        <f>G38</f>
        <v>無回答</v>
      </c>
      <c r="H61" s="21" t="s">
        <v>32</v>
      </c>
      <c r="I61" s="12" t="str">
        <f>A61</f>
        <v>【居住圏域別】</v>
      </c>
      <c r="J61" s="60" t="str">
        <f>C61</f>
        <v>楽になった</v>
      </c>
      <c r="K61" s="61" t="str">
        <f>D61</f>
        <v>かわらない</v>
      </c>
      <c r="L61" s="62" t="str">
        <f>E61</f>
        <v>苦しくなった</v>
      </c>
      <c r="M61" s="61" t="str">
        <f>F61</f>
        <v>わからない</v>
      </c>
      <c r="N61" s="63" t="str">
        <f>G61</f>
        <v>無回答</v>
      </c>
    </row>
    <row r="62" spans="1:14" ht="13.5" customHeight="1" x14ac:dyDescent="0.2">
      <c r="A62" s="275" t="str">
        <f>"全体(n = "&amp;B62&amp;" )　　"</f>
        <v>全体(n = 1,616 )　　</v>
      </c>
      <c r="B62" s="203" t="s">
        <v>250</v>
      </c>
      <c r="C62" s="31">
        <f>$C$30</f>
        <v>32</v>
      </c>
      <c r="D62" s="32">
        <f>$D$30</f>
        <v>730</v>
      </c>
      <c r="E62" s="32">
        <f>$E$30</f>
        <v>813</v>
      </c>
      <c r="F62" s="32">
        <f>$F$30</f>
        <v>40</v>
      </c>
      <c r="G62" s="33">
        <f>$G$30</f>
        <v>1</v>
      </c>
      <c r="I62" s="67" t="str">
        <f>A62</f>
        <v>全体(n = 1,616 )　　</v>
      </c>
      <c r="J62" s="70">
        <f>C63</f>
        <v>1.9801980198019802</v>
      </c>
      <c r="K62" s="71">
        <f>D63</f>
        <v>45.173267326732677</v>
      </c>
      <c r="L62" s="72">
        <f>E63</f>
        <v>50.309405940594054</v>
      </c>
      <c r="M62" s="71">
        <f>F63</f>
        <v>2.4752475247524752</v>
      </c>
      <c r="N62" s="73">
        <f>G63</f>
        <v>6.1881188118811881E-2</v>
      </c>
    </row>
    <row r="63" spans="1:14" ht="13.5" customHeight="1" x14ac:dyDescent="0.2">
      <c r="A63" s="276"/>
      <c r="B63" s="35"/>
      <c r="C63" s="20">
        <f t="shared" ref="C63:F63" si="29">C62/$B$62*100</f>
        <v>1.9801980198019802</v>
      </c>
      <c r="D63" s="207">
        <f t="shared" si="29"/>
        <v>45.173267326732677</v>
      </c>
      <c r="E63" s="207">
        <f t="shared" si="29"/>
        <v>50.309405940594054</v>
      </c>
      <c r="F63" s="207">
        <f t="shared" si="29"/>
        <v>2.4752475247524752</v>
      </c>
      <c r="G63" s="208">
        <f>G62/$B62*100</f>
        <v>6.1881188118811881E-2</v>
      </c>
      <c r="I63" s="82" t="str">
        <f>A64</f>
        <v>岐阜圏域(n = 617 )　　</v>
      </c>
      <c r="J63" s="84">
        <f>C65</f>
        <v>2.2690437601296596</v>
      </c>
      <c r="K63" s="85">
        <f>D65</f>
        <v>44.732576985413289</v>
      </c>
      <c r="L63" s="86">
        <f>E65</f>
        <v>50.891410048622362</v>
      </c>
      <c r="M63" s="85">
        <f>F65</f>
        <v>1.9448946515397085</v>
      </c>
      <c r="N63" s="87">
        <f>G65</f>
        <v>0.16207455429497569</v>
      </c>
    </row>
    <row r="64" spans="1:14" ht="13.5" customHeight="1" x14ac:dyDescent="0.2">
      <c r="A64" s="273" t="str">
        <f>"岐阜圏域(n = "&amp;B64&amp;" )　　"</f>
        <v>岐阜圏域(n = 617 )　　</v>
      </c>
      <c r="B64" s="34">
        <f>SUM(C64:G64)</f>
        <v>617</v>
      </c>
      <c r="C64" s="28">
        <v>14</v>
      </c>
      <c r="D64" s="29">
        <v>276</v>
      </c>
      <c r="E64" s="29">
        <v>314</v>
      </c>
      <c r="F64" s="29">
        <v>12</v>
      </c>
      <c r="G64" s="30">
        <v>1</v>
      </c>
      <c r="H64" s="170">
        <v>1</v>
      </c>
      <c r="I64" s="83" t="str">
        <f>A66</f>
        <v>西濃圏域(n = 290 )　　</v>
      </c>
      <c r="J64" s="88">
        <f>C67</f>
        <v>1.3793103448275863</v>
      </c>
      <c r="K64" s="89">
        <f>D67</f>
        <v>47.931034482758619</v>
      </c>
      <c r="L64" s="90">
        <f>E67</f>
        <v>47.931034482758619</v>
      </c>
      <c r="M64" s="89">
        <f>F67</f>
        <v>2.7586206896551726</v>
      </c>
      <c r="N64" s="91">
        <f>G67</f>
        <v>0</v>
      </c>
    </row>
    <row r="65" spans="1:15" ht="13.5" customHeight="1" x14ac:dyDescent="0.2">
      <c r="A65" s="274"/>
      <c r="B65" s="20">
        <f>B64/$B$62*100</f>
        <v>38.180693069306933</v>
      </c>
      <c r="C65" s="20">
        <f>C64/$B64*100</f>
        <v>2.2690437601296596</v>
      </c>
      <c r="D65" s="207">
        <f t="shared" ref="D65:F65" si="30">D64/$B64*100</f>
        <v>44.732576985413289</v>
      </c>
      <c r="E65" s="207">
        <f t="shared" si="30"/>
        <v>50.891410048622362</v>
      </c>
      <c r="F65" s="207">
        <f t="shared" si="30"/>
        <v>1.9448946515397085</v>
      </c>
      <c r="G65" s="208">
        <f>G64/$B64*100</f>
        <v>0.16207455429497569</v>
      </c>
      <c r="H65" s="2"/>
      <c r="I65" s="83" t="str">
        <f>A68</f>
        <v>中濃圏域(n = 300 )　　</v>
      </c>
      <c r="J65" s="88">
        <f>C69</f>
        <v>1.3333333333333335</v>
      </c>
      <c r="K65" s="89">
        <f>D69</f>
        <v>44</v>
      </c>
      <c r="L65" s="90">
        <f>E69</f>
        <v>51</v>
      </c>
      <c r="M65" s="89">
        <f>F69</f>
        <v>3.6666666666666665</v>
      </c>
      <c r="N65" s="91">
        <f>G69</f>
        <v>0</v>
      </c>
    </row>
    <row r="66" spans="1:15" ht="13.5" customHeight="1" x14ac:dyDescent="0.2">
      <c r="A66" s="273" t="str">
        <f>"西濃圏域(n = "&amp;B66&amp;" )　　"</f>
        <v>西濃圏域(n = 290 )　　</v>
      </c>
      <c r="B66" s="34">
        <f>SUM(C66:G66)</f>
        <v>290</v>
      </c>
      <c r="C66" s="28">
        <v>4</v>
      </c>
      <c r="D66" s="29">
        <v>139</v>
      </c>
      <c r="E66" s="29">
        <v>139</v>
      </c>
      <c r="F66" s="29">
        <v>8</v>
      </c>
      <c r="G66" s="30">
        <v>0</v>
      </c>
      <c r="H66" s="170">
        <v>2</v>
      </c>
      <c r="I66" s="83" t="str">
        <f>A70</f>
        <v>東濃圏域(n = 271 )　　</v>
      </c>
      <c r="J66" s="88">
        <f>C71</f>
        <v>1.107011070110701</v>
      </c>
      <c r="K66" s="89">
        <f>D71</f>
        <v>45.756457564575648</v>
      </c>
      <c r="L66" s="90">
        <f>E71</f>
        <v>50.922509225092249</v>
      </c>
      <c r="M66" s="89">
        <f>F71</f>
        <v>2.214022140221402</v>
      </c>
      <c r="N66" s="91">
        <f>G71</f>
        <v>0</v>
      </c>
    </row>
    <row r="67" spans="1:15" ht="13.5" customHeight="1" x14ac:dyDescent="0.2">
      <c r="A67" s="274"/>
      <c r="B67" s="20">
        <f>B66/$B$62*100</f>
        <v>17.945544554455445</v>
      </c>
      <c r="C67" s="20">
        <f>C66/$B66*100</f>
        <v>1.3793103448275863</v>
      </c>
      <c r="D67" s="207">
        <f t="shared" ref="D67:F67" si="31">D66/$B66*100</f>
        <v>47.931034482758619</v>
      </c>
      <c r="E67" s="207">
        <f t="shared" si="31"/>
        <v>47.931034482758619</v>
      </c>
      <c r="F67" s="207">
        <f t="shared" si="31"/>
        <v>2.7586206896551726</v>
      </c>
      <c r="G67" s="208">
        <f>G66/$B66*100</f>
        <v>0</v>
      </c>
      <c r="H67" s="2"/>
      <c r="I67" s="69" t="str">
        <f>A72</f>
        <v>飛騨圏域(n = 106 )　　</v>
      </c>
      <c r="J67" s="78">
        <f>C73</f>
        <v>4.716981132075472</v>
      </c>
      <c r="K67" s="79">
        <f>D73</f>
        <v>46.226415094339622</v>
      </c>
      <c r="L67" s="80">
        <f>E73</f>
        <v>47.169811320754718</v>
      </c>
      <c r="M67" s="79">
        <f>F73</f>
        <v>1.8867924528301887</v>
      </c>
      <c r="N67" s="81">
        <f>G73</f>
        <v>0</v>
      </c>
    </row>
    <row r="68" spans="1:15" ht="13.5" customHeight="1" x14ac:dyDescent="0.2">
      <c r="A68" s="273" t="str">
        <f>"中濃圏域(n = "&amp;B68&amp;" )　　"</f>
        <v>中濃圏域(n = 300 )　　</v>
      </c>
      <c r="B68" s="34">
        <f>SUM(C68:G68)</f>
        <v>300</v>
      </c>
      <c r="C68" s="28">
        <v>4</v>
      </c>
      <c r="D68" s="29">
        <v>132</v>
      </c>
      <c r="E68" s="29">
        <v>153</v>
      </c>
      <c r="F68" s="29">
        <v>11</v>
      </c>
      <c r="G68" s="30">
        <v>0</v>
      </c>
      <c r="H68" s="170">
        <v>3</v>
      </c>
    </row>
    <row r="69" spans="1:15" ht="13.5" customHeight="1" x14ac:dyDescent="0.2">
      <c r="A69" s="274"/>
      <c r="B69" s="20">
        <f>B68/$B$62*100</f>
        <v>18.564356435643564</v>
      </c>
      <c r="C69" s="20">
        <f>C68/$B68*100</f>
        <v>1.3333333333333335</v>
      </c>
      <c r="D69" s="207">
        <f t="shared" ref="D69:F69" si="32">D68/$B68*100</f>
        <v>44</v>
      </c>
      <c r="E69" s="207">
        <f t="shared" si="32"/>
        <v>51</v>
      </c>
      <c r="F69" s="207">
        <f t="shared" si="32"/>
        <v>3.6666666666666665</v>
      </c>
      <c r="G69" s="208">
        <f>G68/$B68*100</f>
        <v>0</v>
      </c>
      <c r="H69" s="2"/>
    </row>
    <row r="70" spans="1:15" ht="13.5" customHeight="1" x14ac:dyDescent="0.2">
      <c r="A70" s="273" t="str">
        <f>"東濃圏域(n = "&amp;B70&amp;" )　　"</f>
        <v>東濃圏域(n = 271 )　　</v>
      </c>
      <c r="B70" s="34">
        <f>SUM(C70:G70)</f>
        <v>271</v>
      </c>
      <c r="C70" s="28">
        <v>3</v>
      </c>
      <c r="D70" s="29">
        <v>124</v>
      </c>
      <c r="E70" s="29">
        <v>138</v>
      </c>
      <c r="F70" s="29">
        <v>6</v>
      </c>
      <c r="G70" s="30">
        <v>0</v>
      </c>
      <c r="H70" s="170">
        <v>4</v>
      </c>
    </row>
    <row r="71" spans="1:15" ht="13.5" customHeight="1" x14ac:dyDescent="0.2">
      <c r="A71" s="274"/>
      <c r="B71" s="20">
        <f>B70/$B$62*100</f>
        <v>16.769801980198022</v>
      </c>
      <c r="C71" s="20">
        <f>C70/$B70*100</f>
        <v>1.107011070110701</v>
      </c>
      <c r="D71" s="207">
        <f t="shared" ref="D71:F71" si="33">D70/$B70*100</f>
        <v>45.756457564575648</v>
      </c>
      <c r="E71" s="207">
        <f t="shared" si="33"/>
        <v>50.922509225092249</v>
      </c>
      <c r="F71" s="207">
        <f t="shared" si="33"/>
        <v>2.214022140221402</v>
      </c>
      <c r="G71" s="208">
        <f>G70/$B70*100</f>
        <v>0</v>
      </c>
      <c r="H71" s="2"/>
    </row>
    <row r="72" spans="1:15" ht="13.5" customHeight="1" x14ac:dyDescent="0.2">
      <c r="A72" s="273" t="str">
        <f>"飛騨圏域(n = "&amp;B72&amp;" )　　"</f>
        <v>飛騨圏域(n = 106 )　　</v>
      </c>
      <c r="B72" s="34">
        <f>SUM(C72:G72)</f>
        <v>106</v>
      </c>
      <c r="C72" s="28">
        <v>5</v>
      </c>
      <c r="D72" s="29">
        <v>49</v>
      </c>
      <c r="E72" s="29">
        <v>50</v>
      </c>
      <c r="F72" s="29">
        <v>2</v>
      </c>
      <c r="G72" s="30">
        <v>0</v>
      </c>
      <c r="H72" s="170">
        <v>5</v>
      </c>
    </row>
    <row r="73" spans="1:15" x14ac:dyDescent="0.2">
      <c r="A73" s="274"/>
      <c r="B73" s="20">
        <f>B72/$B$62*100</f>
        <v>6.5594059405940595</v>
      </c>
      <c r="C73" s="20">
        <f>C72/$B72*100</f>
        <v>4.716981132075472</v>
      </c>
      <c r="D73" s="207">
        <f t="shared" ref="D73:F73" si="34">D72/$B72*100</f>
        <v>46.226415094339622</v>
      </c>
      <c r="E73" s="207">
        <f t="shared" si="34"/>
        <v>47.169811320754718</v>
      </c>
      <c r="F73" s="207">
        <f t="shared" si="34"/>
        <v>1.8867924528301887</v>
      </c>
      <c r="G73" s="208">
        <f>G72/$B72*100</f>
        <v>0</v>
      </c>
      <c r="H73" s="2"/>
    </row>
    <row r="75" spans="1:15" x14ac:dyDescent="0.2">
      <c r="A75" s="3" t="s">
        <v>28</v>
      </c>
      <c r="B75" s="1" t="str">
        <f>B28</f>
        <v>くらしの前年比較</v>
      </c>
      <c r="C75" s="8"/>
      <c r="D75" s="8"/>
      <c r="E75" s="8"/>
      <c r="F75" s="8"/>
      <c r="G75" s="9" t="s">
        <v>1</v>
      </c>
      <c r="H75" s="23" t="s">
        <v>31</v>
      </c>
      <c r="I75" s="8"/>
      <c r="J75" s="8"/>
      <c r="K75" s="8"/>
      <c r="L75" s="8"/>
      <c r="M75" s="8"/>
      <c r="N75" s="8"/>
      <c r="O75" s="8"/>
    </row>
    <row r="76" spans="1:15" ht="21.6" x14ac:dyDescent="0.2">
      <c r="A76" s="12" t="s">
        <v>29</v>
      </c>
      <c r="B76" s="14" t="str">
        <f>B29</f>
        <v>調査数</v>
      </c>
      <c r="C76" s="15" t="str">
        <f>C29</f>
        <v>楽になった</v>
      </c>
      <c r="D76" s="16" t="str">
        <f>D29</f>
        <v>かわらない</v>
      </c>
      <c r="E76" s="17" t="str">
        <f>E29</f>
        <v>苦しくなった</v>
      </c>
      <c r="F76" s="16" t="str">
        <f>F29</f>
        <v>わからない</v>
      </c>
      <c r="G76" s="18" t="str">
        <f>G29</f>
        <v>無回答</v>
      </c>
      <c r="H76" s="209" t="s">
        <v>253</v>
      </c>
      <c r="I76" s="12" t="str">
        <f t="shared" ref="I76:O77" si="35">A76</f>
        <v>【職業別】</v>
      </c>
      <c r="J76" s="59" t="str">
        <f t="shared" si="35"/>
        <v>調査数</v>
      </c>
      <c r="K76" s="60" t="str">
        <f t="shared" si="35"/>
        <v>楽になった</v>
      </c>
      <c r="L76" s="61" t="str">
        <f t="shared" si="35"/>
        <v>かわらない</v>
      </c>
      <c r="M76" s="62" t="str">
        <f t="shared" si="35"/>
        <v>苦しくなった</v>
      </c>
      <c r="N76" s="61" t="str">
        <f t="shared" si="35"/>
        <v>わからない</v>
      </c>
      <c r="O76" s="63" t="str">
        <f t="shared" si="35"/>
        <v>無回答</v>
      </c>
    </row>
    <row r="77" spans="1:15" ht="13.5" customHeight="1" x14ac:dyDescent="0.2">
      <c r="A77" s="275" t="str">
        <f>"全体(n = "&amp;B77&amp;" )　　"</f>
        <v>全体(n = 1,616 )　　</v>
      </c>
      <c r="B77" s="203" t="s">
        <v>250</v>
      </c>
      <c r="C77" s="31">
        <f>$C$30</f>
        <v>32</v>
      </c>
      <c r="D77" s="32">
        <f>$D$30</f>
        <v>730</v>
      </c>
      <c r="E77" s="32">
        <f>$E$30</f>
        <v>813</v>
      </c>
      <c r="F77" s="32">
        <f>$F$30</f>
        <v>40</v>
      </c>
      <c r="G77" s="33">
        <f>$G$30</f>
        <v>1</v>
      </c>
      <c r="H77" s="210" t="s">
        <v>254</v>
      </c>
      <c r="I77" s="269" t="str">
        <f t="shared" si="35"/>
        <v>全体(n = 1,616 )　　</v>
      </c>
      <c r="J77" s="113" t="str">
        <f t="shared" si="35"/>
        <v>1,616</v>
      </c>
      <c r="K77" s="121">
        <f t="shared" si="35"/>
        <v>32</v>
      </c>
      <c r="L77" s="122">
        <f t="shared" si="35"/>
        <v>730</v>
      </c>
      <c r="M77" s="123">
        <f t="shared" si="35"/>
        <v>813</v>
      </c>
      <c r="N77" s="122">
        <f t="shared" si="35"/>
        <v>40</v>
      </c>
      <c r="O77" s="124">
        <f t="shared" si="35"/>
        <v>1</v>
      </c>
    </row>
    <row r="78" spans="1:15" x14ac:dyDescent="0.2">
      <c r="A78" s="276"/>
      <c r="B78" s="35"/>
      <c r="C78" s="20">
        <f>C77/$B$77*100</f>
        <v>1.9801980198019802</v>
      </c>
      <c r="D78" s="207">
        <f t="shared" ref="D78:F78" si="36">D77/$B$77*100</f>
        <v>45.173267326732677</v>
      </c>
      <c r="E78" s="207">
        <f t="shared" si="36"/>
        <v>50.309405940594054</v>
      </c>
      <c r="F78" s="207">
        <f t="shared" si="36"/>
        <v>2.4752475247524752</v>
      </c>
      <c r="G78" s="208">
        <f>G77/$B77*100</f>
        <v>6.1881188118811881E-2</v>
      </c>
      <c r="H78" s="23" t="s">
        <v>30</v>
      </c>
      <c r="I78" s="270"/>
      <c r="J78" s="114">
        <f t="shared" ref="J78:O80" si="37">B78</f>
        <v>0</v>
      </c>
      <c r="K78" s="125">
        <f t="shared" si="37"/>
        <v>1.9801980198019802</v>
      </c>
      <c r="L78" s="126">
        <f t="shared" si="37"/>
        <v>45.173267326732677</v>
      </c>
      <c r="M78" s="127">
        <f t="shared" si="37"/>
        <v>50.309405940594054</v>
      </c>
      <c r="N78" s="126">
        <f t="shared" si="37"/>
        <v>2.4752475247524752</v>
      </c>
      <c r="O78" s="128">
        <f t="shared" si="37"/>
        <v>6.1881188118811881E-2</v>
      </c>
    </row>
    <row r="79" spans="1:15" x14ac:dyDescent="0.2">
      <c r="A79" s="259" t="str">
        <f>"自営業(n = "&amp;B79&amp;" )　　"</f>
        <v>自営業(n = 175 )　　</v>
      </c>
      <c r="B79" s="34">
        <f>SUM(C79:G79)</f>
        <v>175</v>
      </c>
      <c r="C79" s="28">
        <v>6</v>
      </c>
      <c r="D79" s="29">
        <v>71</v>
      </c>
      <c r="E79" s="29">
        <v>96</v>
      </c>
      <c r="F79" s="29">
        <v>2</v>
      </c>
      <c r="G79" s="30">
        <v>0</v>
      </c>
      <c r="H79" s="170">
        <v>1</v>
      </c>
      <c r="I79" s="269" t="str">
        <f>A79</f>
        <v>自営業(n = 175 )　　</v>
      </c>
      <c r="J79" s="113">
        <f t="shared" si="37"/>
        <v>175</v>
      </c>
      <c r="K79" s="121">
        <f t="shared" si="37"/>
        <v>6</v>
      </c>
      <c r="L79" s="122">
        <f t="shared" si="37"/>
        <v>71</v>
      </c>
      <c r="M79" s="123">
        <f t="shared" si="37"/>
        <v>96</v>
      </c>
      <c r="N79" s="122">
        <f t="shared" si="37"/>
        <v>2</v>
      </c>
      <c r="O79" s="124">
        <f t="shared" si="37"/>
        <v>0</v>
      </c>
    </row>
    <row r="80" spans="1:15" x14ac:dyDescent="0.2">
      <c r="A80" s="260"/>
      <c r="B80" s="20">
        <f>B79/$B$77*100</f>
        <v>10.829207920792079</v>
      </c>
      <c r="C80" s="20">
        <f t="shared" ref="C80:F80" si="38">C79/$B79*100</f>
        <v>3.4285714285714288</v>
      </c>
      <c r="D80" s="207">
        <f t="shared" si="38"/>
        <v>40.571428571428569</v>
      </c>
      <c r="E80" s="207">
        <f t="shared" si="38"/>
        <v>54.857142857142861</v>
      </c>
      <c r="F80" s="207">
        <f t="shared" si="38"/>
        <v>1.1428571428571428</v>
      </c>
      <c r="G80" s="208">
        <f>G79/$B79*100</f>
        <v>0</v>
      </c>
      <c r="H80" s="2"/>
      <c r="I80" s="270"/>
      <c r="J80" s="114">
        <f t="shared" si="37"/>
        <v>10.829207920792079</v>
      </c>
      <c r="K80" s="125">
        <f t="shared" si="37"/>
        <v>3.4285714285714288</v>
      </c>
      <c r="L80" s="126">
        <f t="shared" si="37"/>
        <v>40.571428571428569</v>
      </c>
      <c r="M80" s="127">
        <f t="shared" si="37"/>
        <v>54.857142857142861</v>
      </c>
      <c r="N80" s="126">
        <f t="shared" si="37"/>
        <v>1.1428571428571428</v>
      </c>
      <c r="O80" s="128">
        <f t="shared" si="37"/>
        <v>0</v>
      </c>
    </row>
    <row r="81" spans="1:15" ht="13.5" customHeight="1" x14ac:dyDescent="0.2">
      <c r="A81" s="259" t="str">
        <f>"自由業(※1)(n = "&amp;B81&amp;" )　　"</f>
        <v>自由業(※1)(n = 12 )　　</v>
      </c>
      <c r="B81" s="34">
        <f>SUM(C81:G81)</f>
        <v>12</v>
      </c>
      <c r="C81" s="28">
        <v>0</v>
      </c>
      <c r="D81" s="29">
        <v>3</v>
      </c>
      <c r="E81" s="29">
        <v>9</v>
      </c>
      <c r="F81" s="29">
        <v>0</v>
      </c>
      <c r="G81" s="30">
        <v>0</v>
      </c>
      <c r="H81" s="170">
        <v>2</v>
      </c>
      <c r="I81" s="269" t="str">
        <f t="shared" ref="I81:O81" si="39">A83</f>
        <v>会社・団体役員(n = 171 )　　</v>
      </c>
      <c r="J81" s="113">
        <f t="shared" si="39"/>
        <v>171</v>
      </c>
      <c r="K81" s="121">
        <f t="shared" si="39"/>
        <v>5</v>
      </c>
      <c r="L81" s="122">
        <f t="shared" si="39"/>
        <v>94</v>
      </c>
      <c r="M81" s="123">
        <f t="shared" si="39"/>
        <v>69</v>
      </c>
      <c r="N81" s="122">
        <f t="shared" si="39"/>
        <v>3</v>
      </c>
      <c r="O81" s="124">
        <f t="shared" si="39"/>
        <v>0</v>
      </c>
    </row>
    <row r="82" spans="1:15" x14ac:dyDescent="0.2">
      <c r="A82" s="260"/>
      <c r="B82" s="20">
        <f>B81/$B$77*100</f>
        <v>0.74257425742574257</v>
      </c>
      <c r="C82" s="20">
        <f t="shared" ref="C82:F82" si="40">C81/$B81*100</f>
        <v>0</v>
      </c>
      <c r="D82" s="207">
        <f t="shared" si="40"/>
        <v>25</v>
      </c>
      <c r="E82" s="207">
        <f t="shared" si="40"/>
        <v>75</v>
      </c>
      <c r="F82" s="207">
        <f t="shared" si="40"/>
        <v>0</v>
      </c>
      <c r="G82" s="208">
        <f>G81/$B81*100</f>
        <v>0</v>
      </c>
      <c r="H82" s="2"/>
      <c r="I82" s="270"/>
      <c r="J82" s="114">
        <f t="shared" ref="J82:O86" si="41">B84</f>
        <v>10.581683168316831</v>
      </c>
      <c r="K82" s="125">
        <f t="shared" si="41"/>
        <v>2.9239766081871341</v>
      </c>
      <c r="L82" s="126">
        <f t="shared" si="41"/>
        <v>54.970760233918128</v>
      </c>
      <c r="M82" s="127">
        <f t="shared" si="41"/>
        <v>40.350877192982452</v>
      </c>
      <c r="N82" s="126">
        <f t="shared" si="41"/>
        <v>1.7543859649122806</v>
      </c>
      <c r="O82" s="128">
        <f t="shared" si="41"/>
        <v>0</v>
      </c>
    </row>
    <row r="83" spans="1:15" ht="13.5" customHeight="1" x14ac:dyDescent="0.2">
      <c r="A83" s="259" t="str">
        <f>"会社・団体役員(n = "&amp;B83&amp;" )　　"</f>
        <v>会社・団体役員(n = 171 )　　</v>
      </c>
      <c r="B83" s="34">
        <f>SUM(C83:G83)</f>
        <v>171</v>
      </c>
      <c r="C83" s="28">
        <v>5</v>
      </c>
      <c r="D83" s="29">
        <v>94</v>
      </c>
      <c r="E83" s="29">
        <v>69</v>
      </c>
      <c r="F83" s="29">
        <v>3</v>
      </c>
      <c r="G83" s="30">
        <v>0</v>
      </c>
      <c r="H83" s="170">
        <v>3</v>
      </c>
      <c r="I83" s="271" t="str">
        <f>A85</f>
        <v>正規の従業員・職員(n = 423 )　　</v>
      </c>
      <c r="J83" s="113">
        <f t="shared" si="41"/>
        <v>423</v>
      </c>
      <c r="K83" s="121">
        <f t="shared" si="41"/>
        <v>8</v>
      </c>
      <c r="L83" s="122">
        <f t="shared" si="41"/>
        <v>201</v>
      </c>
      <c r="M83" s="123">
        <f t="shared" si="41"/>
        <v>205</v>
      </c>
      <c r="N83" s="122">
        <f t="shared" si="41"/>
        <v>9</v>
      </c>
      <c r="O83" s="124">
        <f t="shared" si="41"/>
        <v>0</v>
      </c>
    </row>
    <row r="84" spans="1:15" x14ac:dyDescent="0.2">
      <c r="A84" s="260"/>
      <c r="B84" s="20">
        <f>B83/$B$77*100</f>
        <v>10.581683168316831</v>
      </c>
      <c r="C84" s="20">
        <f t="shared" ref="C84:F84" si="42">C83/$B83*100</f>
        <v>2.9239766081871341</v>
      </c>
      <c r="D84" s="207">
        <f t="shared" si="42"/>
        <v>54.970760233918128</v>
      </c>
      <c r="E84" s="207">
        <f t="shared" si="42"/>
        <v>40.350877192982452</v>
      </c>
      <c r="F84" s="207">
        <f t="shared" si="42"/>
        <v>1.7543859649122806</v>
      </c>
      <c r="G84" s="208">
        <f>G83/$B83*100</f>
        <v>0</v>
      </c>
      <c r="H84" s="2"/>
      <c r="I84" s="272"/>
      <c r="J84" s="114">
        <f t="shared" si="41"/>
        <v>26.175742574257427</v>
      </c>
      <c r="K84" s="125">
        <f t="shared" si="41"/>
        <v>1.8912529550827424</v>
      </c>
      <c r="L84" s="126">
        <f t="shared" si="41"/>
        <v>47.5177304964539</v>
      </c>
      <c r="M84" s="127">
        <f t="shared" si="41"/>
        <v>48.463356973995268</v>
      </c>
      <c r="N84" s="126">
        <f t="shared" si="41"/>
        <v>2.1276595744680851</v>
      </c>
      <c r="O84" s="128">
        <f t="shared" si="41"/>
        <v>0</v>
      </c>
    </row>
    <row r="85" spans="1:15" ht="13.5" customHeight="1" x14ac:dyDescent="0.2">
      <c r="A85" s="263" t="str">
        <f>"正規の従業員・職員(n = "&amp;B85&amp;" )　　"</f>
        <v>正規の従業員・職員(n = 423 )　　</v>
      </c>
      <c r="B85" s="34">
        <f>SUM(C85:G85)</f>
        <v>423</v>
      </c>
      <c r="C85" s="28">
        <v>8</v>
      </c>
      <c r="D85" s="29">
        <v>201</v>
      </c>
      <c r="E85" s="29">
        <v>205</v>
      </c>
      <c r="F85" s="29">
        <v>9</v>
      </c>
      <c r="G85" s="30">
        <v>0</v>
      </c>
      <c r="H85" s="170">
        <v>4</v>
      </c>
      <c r="I85" s="265" t="str">
        <f>A87</f>
        <v>パートタイム・アルバイト・派遣(n = 346 )　　</v>
      </c>
      <c r="J85" s="113">
        <f t="shared" si="41"/>
        <v>346</v>
      </c>
      <c r="K85" s="121">
        <f t="shared" si="41"/>
        <v>4</v>
      </c>
      <c r="L85" s="122">
        <f t="shared" si="41"/>
        <v>153</v>
      </c>
      <c r="M85" s="123">
        <f t="shared" si="41"/>
        <v>179</v>
      </c>
      <c r="N85" s="122">
        <f t="shared" si="41"/>
        <v>10</v>
      </c>
      <c r="O85" s="124">
        <f t="shared" si="41"/>
        <v>0</v>
      </c>
    </row>
    <row r="86" spans="1:15" x14ac:dyDescent="0.2">
      <c r="A86" s="264"/>
      <c r="B86" s="20">
        <f>B85/$B$77*100</f>
        <v>26.175742574257427</v>
      </c>
      <c r="C86" s="20">
        <f t="shared" ref="C86:F86" si="43">C85/$B85*100</f>
        <v>1.8912529550827424</v>
      </c>
      <c r="D86" s="207">
        <f t="shared" si="43"/>
        <v>47.5177304964539</v>
      </c>
      <c r="E86" s="207">
        <f t="shared" si="43"/>
        <v>48.463356973995268</v>
      </c>
      <c r="F86" s="207">
        <f t="shared" si="43"/>
        <v>2.1276595744680851</v>
      </c>
      <c r="G86" s="208">
        <f>G85/$B85*100</f>
        <v>0</v>
      </c>
      <c r="H86" s="2"/>
      <c r="I86" s="266"/>
      <c r="J86" s="114">
        <f t="shared" si="41"/>
        <v>21.410891089108912</v>
      </c>
      <c r="K86" s="125">
        <f t="shared" si="41"/>
        <v>1.1560693641618496</v>
      </c>
      <c r="L86" s="126">
        <f t="shared" si="41"/>
        <v>44.21965317919075</v>
      </c>
      <c r="M86" s="127">
        <f t="shared" si="41"/>
        <v>51.734104046242777</v>
      </c>
      <c r="N86" s="126">
        <f t="shared" si="41"/>
        <v>2.8901734104046244</v>
      </c>
      <c r="O86" s="128">
        <f t="shared" si="41"/>
        <v>0</v>
      </c>
    </row>
    <row r="87" spans="1:15" ht="13.5" customHeight="1" x14ac:dyDescent="0.2">
      <c r="A87" s="267" t="str">
        <f>"パートタイム・アルバイト・派遣(n = "&amp;B87&amp;" )　　"</f>
        <v>パートタイム・アルバイト・派遣(n = 346 )　　</v>
      </c>
      <c r="B87" s="34">
        <f>SUM(C87:G87)</f>
        <v>346</v>
      </c>
      <c r="C87" s="28">
        <v>4</v>
      </c>
      <c r="D87" s="29">
        <v>153</v>
      </c>
      <c r="E87" s="29">
        <v>179</v>
      </c>
      <c r="F87" s="29">
        <v>10</v>
      </c>
      <c r="G87" s="30">
        <v>0</v>
      </c>
      <c r="H87" s="170">
        <v>5</v>
      </c>
      <c r="I87" s="269" t="str">
        <f t="shared" ref="I87:O87" si="44">A91</f>
        <v>家事従事(n = 150 )　　</v>
      </c>
      <c r="J87" s="113">
        <f t="shared" si="44"/>
        <v>150</v>
      </c>
      <c r="K87" s="121">
        <f t="shared" si="44"/>
        <v>4</v>
      </c>
      <c r="L87" s="122">
        <f t="shared" si="44"/>
        <v>70</v>
      </c>
      <c r="M87" s="123">
        <f t="shared" si="44"/>
        <v>71</v>
      </c>
      <c r="N87" s="122">
        <f t="shared" si="44"/>
        <v>4</v>
      </c>
      <c r="O87" s="124">
        <f t="shared" si="44"/>
        <v>1</v>
      </c>
    </row>
    <row r="88" spans="1:15" x14ac:dyDescent="0.2">
      <c r="A88" s="268"/>
      <c r="B88" s="20">
        <f t="shared" ref="B88" si="45">B87/$B$77*100</f>
        <v>21.410891089108912</v>
      </c>
      <c r="C88" s="20">
        <f t="shared" ref="C88:F88" si="46">C87/$B87*100</f>
        <v>1.1560693641618496</v>
      </c>
      <c r="D88" s="207">
        <f t="shared" si="46"/>
        <v>44.21965317919075</v>
      </c>
      <c r="E88" s="207">
        <f t="shared" si="46"/>
        <v>51.734104046242777</v>
      </c>
      <c r="F88" s="207">
        <f t="shared" si="46"/>
        <v>2.8901734104046244</v>
      </c>
      <c r="G88" s="208">
        <f>G87/$B87*100</f>
        <v>0</v>
      </c>
      <c r="H88" s="19"/>
      <c r="I88" s="270"/>
      <c r="J88" s="114">
        <f t="shared" ref="J88:O90" si="47">B92</f>
        <v>9.282178217821782</v>
      </c>
      <c r="K88" s="125">
        <f t="shared" si="47"/>
        <v>2.666666666666667</v>
      </c>
      <c r="L88" s="126">
        <f t="shared" si="47"/>
        <v>46.666666666666664</v>
      </c>
      <c r="M88" s="127">
        <f t="shared" si="47"/>
        <v>47.333333333333336</v>
      </c>
      <c r="N88" s="126">
        <f t="shared" si="47"/>
        <v>2.666666666666667</v>
      </c>
      <c r="O88" s="128">
        <f t="shared" si="47"/>
        <v>0.66666666666666674</v>
      </c>
    </row>
    <row r="89" spans="1:15" ht="13.5" customHeight="1" x14ac:dyDescent="0.2">
      <c r="A89" s="259" t="str">
        <f>"学生(n = "&amp;B89&amp;" )　　"</f>
        <v>学生(n = 44 )　　</v>
      </c>
      <c r="B89" s="34">
        <f>SUM(C89:G89)</f>
        <v>44</v>
      </c>
      <c r="C89" s="28">
        <v>1</v>
      </c>
      <c r="D89" s="29">
        <v>27</v>
      </c>
      <c r="E89" s="29">
        <v>11</v>
      </c>
      <c r="F89" s="29">
        <v>5</v>
      </c>
      <c r="G89" s="30">
        <v>0</v>
      </c>
      <c r="H89" s="170">
        <v>6</v>
      </c>
      <c r="I89" s="269" t="str">
        <f>A93</f>
        <v>無職(n = 263 )　　</v>
      </c>
      <c r="J89" s="113">
        <f t="shared" si="47"/>
        <v>263</v>
      </c>
      <c r="K89" s="121">
        <f t="shared" si="47"/>
        <v>3</v>
      </c>
      <c r="L89" s="122">
        <f t="shared" si="47"/>
        <v>99</v>
      </c>
      <c r="M89" s="123">
        <f t="shared" si="47"/>
        <v>156</v>
      </c>
      <c r="N89" s="122">
        <f t="shared" si="47"/>
        <v>5</v>
      </c>
      <c r="O89" s="124">
        <f t="shared" si="47"/>
        <v>0</v>
      </c>
    </row>
    <row r="90" spans="1:15" x14ac:dyDescent="0.2">
      <c r="A90" s="260"/>
      <c r="B90" s="20">
        <f t="shared" ref="B90" si="48">B89/$B$77*100</f>
        <v>2.722772277227723</v>
      </c>
      <c r="C90" s="20">
        <f t="shared" ref="C90:F90" si="49">C89/$B89*100</f>
        <v>2.2727272727272729</v>
      </c>
      <c r="D90" s="207">
        <f t="shared" si="49"/>
        <v>61.363636363636367</v>
      </c>
      <c r="E90" s="207">
        <f t="shared" si="49"/>
        <v>25</v>
      </c>
      <c r="F90" s="207">
        <f t="shared" si="49"/>
        <v>11.363636363636363</v>
      </c>
      <c r="G90" s="208">
        <f>G89/$B89*100</f>
        <v>0</v>
      </c>
      <c r="H90" s="19"/>
      <c r="I90" s="270"/>
      <c r="J90" s="114">
        <f t="shared" si="47"/>
        <v>16.274752475247524</v>
      </c>
      <c r="K90" s="125">
        <f t="shared" si="47"/>
        <v>1.1406844106463878</v>
      </c>
      <c r="L90" s="126">
        <f t="shared" si="47"/>
        <v>37.642585551330797</v>
      </c>
      <c r="M90" s="127">
        <f t="shared" si="47"/>
        <v>59.315589353612161</v>
      </c>
      <c r="N90" s="126">
        <f t="shared" si="47"/>
        <v>1.9011406844106464</v>
      </c>
      <c r="O90" s="128">
        <f t="shared" si="47"/>
        <v>0</v>
      </c>
    </row>
    <row r="91" spans="1:15" ht="13.5" customHeight="1" x14ac:dyDescent="0.2">
      <c r="A91" s="259" t="str">
        <f>"家事従事(n = "&amp;B91&amp;" )　　"</f>
        <v>家事従事(n = 150 )　　</v>
      </c>
      <c r="B91" s="34">
        <f>SUM(C91:G91)</f>
        <v>150</v>
      </c>
      <c r="C91" s="28">
        <v>4</v>
      </c>
      <c r="D91" s="29">
        <v>70</v>
      </c>
      <c r="E91" s="29">
        <v>71</v>
      </c>
      <c r="F91" s="29">
        <v>4</v>
      </c>
      <c r="G91" s="30">
        <v>1</v>
      </c>
      <c r="H91" s="170">
        <v>7</v>
      </c>
      <c r="I91" s="259" t="str">
        <f>"その他(n = "&amp;J91&amp;" )　　"</f>
        <v>その他(n = 74 )　　</v>
      </c>
      <c r="J91" s="113">
        <f>B81+B89+B95</f>
        <v>74</v>
      </c>
      <c r="K91" s="121">
        <f>C81+C89+C95</f>
        <v>1</v>
      </c>
      <c r="L91" s="122">
        <f>D81+D89+D95</f>
        <v>39</v>
      </c>
      <c r="M91" s="123">
        <f t="shared" ref="M91:O91" si="50">E81+E89+E95</f>
        <v>28</v>
      </c>
      <c r="N91" s="122">
        <f t="shared" si="50"/>
        <v>6</v>
      </c>
      <c r="O91" s="124">
        <f t="shared" si="50"/>
        <v>0</v>
      </c>
    </row>
    <row r="92" spans="1:15" ht="13.5" customHeight="1" x14ac:dyDescent="0.2">
      <c r="A92" s="260"/>
      <c r="B92" s="20">
        <f t="shared" ref="B92" si="51">B91/$B$77*100</f>
        <v>9.282178217821782</v>
      </c>
      <c r="C92" s="20">
        <f t="shared" ref="C92:F92" si="52">C91/$B91*100</f>
        <v>2.666666666666667</v>
      </c>
      <c r="D92" s="207">
        <f t="shared" si="52"/>
        <v>46.666666666666664</v>
      </c>
      <c r="E92" s="207">
        <f t="shared" si="52"/>
        <v>47.333333333333336</v>
      </c>
      <c r="F92" s="207">
        <f t="shared" si="52"/>
        <v>2.666666666666667</v>
      </c>
      <c r="G92" s="208">
        <f>G91/$B91*100</f>
        <v>0.66666666666666674</v>
      </c>
      <c r="H92" s="19"/>
      <c r="I92" s="260"/>
      <c r="J92" s="114">
        <v>100</v>
      </c>
      <c r="K92" s="125">
        <f>ROUND(K91/$J91*100,1)</f>
        <v>1.4</v>
      </c>
      <c r="L92" s="126">
        <f t="shared" ref="L92:O92" si="53">ROUND(L91/$J91*100,1)</f>
        <v>52.7</v>
      </c>
      <c r="M92" s="127">
        <f t="shared" si="53"/>
        <v>37.799999999999997</v>
      </c>
      <c r="N92" s="126">
        <f t="shared" si="53"/>
        <v>8.1</v>
      </c>
      <c r="O92" s="128">
        <f t="shared" si="53"/>
        <v>0</v>
      </c>
    </row>
    <row r="93" spans="1:15" ht="13.5" customHeight="1" x14ac:dyDescent="0.2">
      <c r="A93" s="259" t="str">
        <f>"無職(n = "&amp;B93&amp;" )　　"</f>
        <v>無職(n = 263 )　　</v>
      </c>
      <c r="B93" s="34">
        <f>SUM(C93:G93)</f>
        <v>263</v>
      </c>
      <c r="C93" s="28">
        <v>3</v>
      </c>
      <c r="D93" s="29">
        <v>99</v>
      </c>
      <c r="E93" s="29">
        <v>156</v>
      </c>
      <c r="F93" s="29">
        <v>5</v>
      </c>
      <c r="G93" s="30">
        <v>0</v>
      </c>
      <c r="H93" s="170">
        <v>8</v>
      </c>
      <c r="I93" s="261" t="s">
        <v>33</v>
      </c>
      <c r="J93" s="22"/>
      <c r="K93" s="22"/>
      <c r="L93" s="22"/>
      <c r="M93" s="4"/>
      <c r="N93" s="4"/>
      <c r="O93" s="4"/>
    </row>
    <row r="94" spans="1:15" ht="13.5" customHeight="1" x14ac:dyDescent="0.2">
      <c r="A94" s="260"/>
      <c r="B94" s="20">
        <f t="shared" ref="B94" si="54">B93/$B$77*100</f>
        <v>16.274752475247524</v>
      </c>
      <c r="C94" s="20">
        <f t="shared" ref="C94:F94" si="55">C93/$B93*100</f>
        <v>1.1406844106463878</v>
      </c>
      <c r="D94" s="207">
        <f t="shared" si="55"/>
        <v>37.642585551330797</v>
      </c>
      <c r="E94" s="207">
        <f t="shared" si="55"/>
        <v>59.315589353612161</v>
      </c>
      <c r="F94" s="207">
        <f t="shared" si="55"/>
        <v>1.9011406844106464</v>
      </c>
      <c r="G94" s="208">
        <f>G93/$B93*100</f>
        <v>0</v>
      </c>
      <c r="H94" s="19"/>
      <c r="I94" s="262"/>
      <c r="J94" s="8"/>
      <c r="K94" s="8"/>
      <c r="L94" s="8"/>
      <c r="M94" s="8"/>
      <c r="N94" s="8"/>
      <c r="O94" s="8"/>
    </row>
    <row r="95" spans="1:15" ht="13.5" customHeight="1" x14ac:dyDescent="0.2">
      <c r="A95" s="259" t="str">
        <f>"その他(n = "&amp;B95&amp;" )　　"</f>
        <v>その他(n = 18 )　　</v>
      </c>
      <c r="B95" s="34">
        <f>SUM(C95:G95)</f>
        <v>18</v>
      </c>
      <c r="C95" s="28">
        <v>0</v>
      </c>
      <c r="D95" s="29">
        <v>9</v>
      </c>
      <c r="E95" s="29">
        <v>8</v>
      </c>
      <c r="F95" s="29">
        <v>1</v>
      </c>
      <c r="G95" s="30">
        <v>0</v>
      </c>
      <c r="H95" s="170">
        <v>9</v>
      </c>
      <c r="I95" s="12" t="str">
        <f>I76</f>
        <v>【職業別】</v>
      </c>
      <c r="J95" s="61" t="str">
        <f>K76</f>
        <v>楽になった</v>
      </c>
      <c r="K95" s="62" t="str">
        <f>L76</f>
        <v>かわらない</v>
      </c>
      <c r="L95" s="61" t="str">
        <f>M76</f>
        <v>苦しくなった</v>
      </c>
      <c r="M95" s="62" t="str">
        <f>N76</f>
        <v>わからない</v>
      </c>
      <c r="N95" s="63" t="str">
        <f>O76</f>
        <v>無回答</v>
      </c>
    </row>
    <row r="96" spans="1:15" ht="13.5" customHeight="1" x14ac:dyDescent="0.2">
      <c r="A96" s="260"/>
      <c r="B96" s="20">
        <f t="shared" ref="B96" si="56">B95/$B$77*100</f>
        <v>1.1138613861386137</v>
      </c>
      <c r="C96" s="20">
        <f t="shared" ref="C96:F96" si="57">C95/$B95*100</f>
        <v>0</v>
      </c>
      <c r="D96" s="207">
        <f t="shared" si="57"/>
        <v>50</v>
      </c>
      <c r="E96" s="207">
        <f t="shared" si="57"/>
        <v>44.444444444444443</v>
      </c>
      <c r="F96" s="207">
        <f t="shared" si="57"/>
        <v>5.5555555555555554</v>
      </c>
      <c r="G96" s="208">
        <f>G95/$B95*100</f>
        <v>0</v>
      </c>
      <c r="H96" s="19"/>
      <c r="I96" s="67" t="str">
        <f>I77</f>
        <v>全体(n = 1,616 )　　</v>
      </c>
      <c r="J96" s="71">
        <f>K78</f>
        <v>1.9801980198019802</v>
      </c>
      <c r="K96" s="72">
        <f t="shared" ref="K96:M96" si="58">L78</f>
        <v>45.173267326732677</v>
      </c>
      <c r="L96" s="71">
        <f t="shared" si="58"/>
        <v>50.309405940594054</v>
      </c>
      <c r="M96" s="72">
        <f t="shared" si="58"/>
        <v>2.4752475247524752</v>
      </c>
      <c r="N96" s="73">
        <f t="shared" ref="N96" si="59">O78</f>
        <v>6.1881188118811881E-2</v>
      </c>
    </row>
    <row r="97" spans="8:14" ht="13.5" customHeight="1" x14ac:dyDescent="0.2">
      <c r="H97" s="19"/>
      <c r="I97" s="82" t="str">
        <f>I79</f>
        <v>自営業(n = 175 )　　</v>
      </c>
      <c r="J97" s="85">
        <f>K80</f>
        <v>3.4285714285714288</v>
      </c>
      <c r="K97" s="86">
        <f t="shared" ref="K97:M97" si="60">L80</f>
        <v>40.571428571428569</v>
      </c>
      <c r="L97" s="85">
        <f t="shared" si="60"/>
        <v>54.857142857142861</v>
      </c>
      <c r="M97" s="86">
        <f t="shared" si="60"/>
        <v>1.1428571428571428</v>
      </c>
      <c r="N97" s="87">
        <f t="shared" ref="N97" si="61">O80</f>
        <v>0</v>
      </c>
    </row>
    <row r="98" spans="8:14" ht="13.5" customHeight="1" x14ac:dyDescent="0.2">
      <c r="H98" s="19"/>
      <c r="I98" s="83" t="str">
        <f>I81</f>
        <v>会社・団体役員(n = 171 )　　</v>
      </c>
      <c r="J98" s="89">
        <f>K82</f>
        <v>2.9239766081871341</v>
      </c>
      <c r="K98" s="90">
        <f t="shared" ref="K98:M98" si="62">L82</f>
        <v>54.970760233918128</v>
      </c>
      <c r="L98" s="89">
        <f t="shared" si="62"/>
        <v>40.350877192982452</v>
      </c>
      <c r="M98" s="90">
        <f t="shared" si="62"/>
        <v>1.7543859649122806</v>
      </c>
      <c r="N98" s="91">
        <f t="shared" ref="N98" si="63">O82</f>
        <v>0</v>
      </c>
    </row>
    <row r="99" spans="8:14" ht="13.5" customHeight="1" x14ac:dyDescent="0.2">
      <c r="I99" s="83" t="str">
        <f>I83</f>
        <v>正規の従業員・職員(n = 423 )　　</v>
      </c>
      <c r="J99" s="89">
        <f>K84</f>
        <v>1.8912529550827424</v>
      </c>
      <c r="K99" s="90">
        <f t="shared" ref="K99:M99" si="64">L84</f>
        <v>47.5177304964539</v>
      </c>
      <c r="L99" s="89">
        <f t="shared" si="64"/>
        <v>48.463356973995268</v>
      </c>
      <c r="M99" s="90">
        <f t="shared" si="64"/>
        <v>2.1276595744680851</v>
      </c>
      <c r="N99" s="91">
        <f t="shared" ref="N99" si="65">O84</f>
        <v>0</v>
      </c>
    </row>
    <row r="100" spans="8:14" ht="13.5" customHeight="1" x14ac:dyDescent="0.2">
      <c r="I100" s="83" t="str">
        <f>I85</f>
        <v>パートタイム・アルバイト・派遣(n = 346 )　　</v>
      </c>
      <c r="J100" s="89">
        <f>K86</f>
        <v>1.1560693641618496</v>
      </c>
      <c r="K100" s="90">
        <f t="shared" ref="K100:M100" si="66">L86</f>
        <v>44.21965317919075</v>
      </c>
      <c r="L100" s="89">
        <f t="shared" si="66"/>
        <v>51.734104046242777</v>
      </c>
      <c r="M100" s="90">
        <f t="shared" si="66"/>
        <v>2.8901734104046244</v>
      </c>
      <c r="N100" s="91">
        <f t="shared" ref="N100" si="67">O86</f>
        <v>0</v>
      </c>
    </row>
    <row r="101" spans="8:14" ht="13.5" customHeight="1" x14ac:dyDescent="0.2">
      <c r="I101" s="83" t="str">
        <f>I87</f>
        <v>家事従事(n = 150 )　　</v>
      </c>
      <c r="J101" s="89">
        <f>K88</f>
        <v>2.666666666666667</v>
      </c>
      <c r="K101" s="90">
        <f t="shared" ref="K101:M101" si="68">L88</f>
        <v>46.666666666666664</v>
      </c>
      <c r="L101" s="89">
        <f t="shared" si="68"/>
        <v>47.333333333333336</v>
      </c>
      <c r="M101" s="90">
        <f t="shared" si="68"/>
        <v>2.666666666666667</v>
      </c>
      <c r="N101" s="91">
        <f t="shared" ref="N101" si="69">O88</f>
        <v>0.66666666666666674</v>
      </c>
    </row>
    <row r="102" spans="8:14" ht="13.5" customHeight="1" x14ac:dyDescent="0.2">
      <c r="I102" s="83" t="str">
        <f>I89</f>
        <v>無職(n = 263 )　　</v>
      </c>
      <c r="J102" s="89">
        <f>K90</f>
        <v>1.1406844106463878</v>
      </c>
      <c r="K102" s="90">
        <f t="shared" ref="K102:M102" si="70">L90</f>
        <v>37.642585551330797</v>
      </c>
      <c r="L102" s="89">
        <f t="shared" si="70"/>
        <v>59.315589353612161</v>
      </c>
      <c r="M102" s="90">
        <f t="shared" si="70"/>
        <v>1.9011406844106464</v>
      </c>
      <c r="N102" s="91">
        <f t="shared" ref="N102" si="71">O90</f>
        <v>0</v>
      </c>
    </row>
    <row r="103" spans="8:14" ht="13.5" customHeight="1" x14ac:dyDescent="0.2">
      <c r="I103" s="69" t="str">
        <f>I91</f>
        <v>その他(n = 74 )　　</v>
      </c>
      <c r="J103" s="79">
        <f>K92</f>
        <v>1.4</v>
      </c>
      <c r="K103" s="80">
        <f t="shared" ref="K103:M103" si="72">L92</f>
        <v>52.7</v>
      </c>
      <c r="L103" s="79">
        <f t="shared" si="72"/>
        <v>37.799999999999997</v>
      </c>
      <c r="M103" s="80">
        <f t="shared" si="72"/>
        <v>8.1</v>
      </c>
      <c r="N103" s="81">
        <f t="shared" ref="N103" si="73">O92</f>
        <v>0</v>
      </c>
    </row>
  </sheetData>
  <mergeCells count="36">
    <mergeCell ref="A45:A46"/>
    <mergeCell ref="A30:A31"/>
    <mergeCell ref="A32:A33"/>
    <mergeCell ref="A34:A35"/>
    <mergeCell ref="A39:A40"/>
    <mergeCell ref="A43:A44"/>
    <mergeCell ref="A41:A42"/>
    <mergeCell ref="I77:I78"/>
    <mergeCell ref="A47:A48"/>
    <mergeCell ref="A49:A50"/>
    <mergeCell ref="A51:A52"/>
    <mergeCell ref="A53:A54"/>
    <mergeCell ref="A62:A63"/>
    <mergeCell ref="A64:A65"/>
    <mergeCell ref="A66:A67"/>
    <mergeCell ref="A68:A69"/>
    <mergeCell ref="A70:A71"/>
    <mergeCell ref="A72:A73"/>
    <mergeCell ref="A77:A78"/>
    <mergeCell ref="A79:A80"/>
    <mergeCell ref="I79:I80"/>
    <mergeCell ref="A81:A82"/>
    <mergeCell ref="I81:I82"/>
    <mergeCell ref="A83:A84"/>
    <mergeCell ref="I83:I84"/>
    <mergeCell ref="A85:A86"/>
    <mergeCell ref="I85:I86"/>
    <mergeCell ref="A87:A88"/>
    <mergeCell ref="I87:I88"/>
    <mergeCell ref="A89:A90"/>
    <mergeCell ref="I89:I90"/>
    <mergeCell ref="A91:A92"/>
    <mergeCell ref="I91:I92"/>
    <mergeCell ref="A93:A94"/>
    <mergeCell ref="A95:A96"/>
    <mergeCell ref="I93:I9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/>
  </sheetPr>
  <dimension ref="A1:L80"/>
  <sheetViews>
    <sheetView topLeftCell="A58" zoomScaleNormal="100" zoomScaleSheetLayoutView="100" workbookViewId="0"/>
  </sheetViews>
  <sheetFormatPr defaultRowHeight="13.2" x14ac:dyDescent="0.2"/>
  <cols>
    <col min="7" max="7" width="6.33203125" bestFit="1" customWidth="1"/>
  </cols>
  <sheetData>
    <row r="1" spans="1:12" x14ac:dyDescent="0.2">
      <c r="A1" s="3" t="s">
        <v>87</v>
      </c>
      <c r="B1" s="1" t="s">
        <v>146</v>
      </c>
      <c r="C1" s="8"/>
      <c r="D1" s="8"/>
      <c r="E1" s="8"/>
    </row>
    <row r="2" spans="1:12" ht="21.6" x14ac:dyDescent="0.2">
      <c r="A2" s="12" t="s">
        <v>20</v>
      </c>
      <c r="B2" s="59" t="s">
        <v>3</v>
      </c>
      <c r="C2" s="60" t="s">
        <v>104</v>
      </c>
      <c r="D2" s="61" t="s">
        <v>105</v>
      </c>
      <c r="E2" s="61" t="s">
        <v>106</v>
      </c>
      <c r="F2" s="63" t="s">
        <v>0</v>
      </c>
      <c r="G2" s="21" t="s">
        <v>32</v>
      </c>
      <c r="H2" s="12" t="str">
        <f>A2</f>
        <v>【性別】</v>
      </c>
      <c r="I2" s="60" t="str">
        <f>C2</f>
        <v>はい</v>
      </c>
      <c r="J2" s="61" t="str">
        <f>D2</f>
        <v>いいえ</v>
      </c>
      <c r="K2" s="62" t="str">
        <f>E2</f>
        <v>わからない</v>
      </c>
      <c r="L2" s="63" t="str">
        <f>F2</f>
        <v>無回答</v>
      </c>
    </row>
    <row r="3" spans="1:12" ht="13.5" customHeight="1" x14ac:dyDescent="0.2">
      <c r="A3" s="275" t="str">
        <f>'問6S（表）'!A3:A4</f>
        <v>全体(n = 1,616 )　　</v>
      </c>
      <c r="B3" s="34">
        <f>'問6S（表）'!B3</f>
        <v>1616</v>
      </c>
      <c r="C3" s="31">
        <v>1195</v>
      </c>
      <c r="D3" s="32">
        <v>62</v>
      </c>
      <c r="E3" s="32">
        <v>339</v>
      </c>
      <c r="F3" s="33">
        <v>20</v>
      </c>
      <c r="G3" s="7"/>
      <c r="H3" s="67" t="str">
        <f>A3</f>
        <v>全体(n = 1,616 )　　</v>
      </c>
      <c r="I3" s="70">
        <f>C4</f>
        <v>73.948019801980209</v>
      </c>
      <c r="J3" s="71">
        <f>D4</f>
        <v>3.8366336633663365</v>
      </c>
      <c r="K3" s="72">
        <f>E4</f>
        <v>20.977722772277225</v>
      </c>
      <c r="L3" s="73">
        <f>F4</f>
        <v>1.2376237623762376</v>
      </c>
    </row>
    <row r="4" spans="1:12" ht="13.5" customHeight="1" x14ac:dyDescent="0.2">
      <c r="A4" s="276"/>
      <c r="B4" s="35"/>
      <c r="C4" s="20">
        <f>C3/$B3*100</f>
        <v>73.948019801980209</v>
      </c>
      <c r="D4" s="207">
        <f t="shared" ref="D4:F4" si="0">D3/$B3*100</f>
        <v>3.8366336633663365</v>
      </c>
      <c r="E4" s="207">
        <f t="shared" si="0"/>
        <v>20.977722772277225</v>
      </c>
      <c r="F4" s="208">
        <f t="shared" si="0"/>
        <v>1.2376237623762376</v>
      </c>
      <c r="G4" s="7"/>
      <c r="H4" s="68" t="str">
        <f>A5</f>
        <v>男性(n = 705 )　　</v>
      </c>
      <c r="I4" s="74">
        <f>C6</f>
        <v>73.049645390070921</v>
      </c>
      <c r="J4" s="75">
        <f>D6</f>
        <v>3.8297872340425529</v>
      </c>
      <c r="K4" s="76">
        <f>E6</f>
        <v>21.702127659574469</v>
      </c>
      <c r="L4" s="77">
        <f>F6</f>
        <v>1.4184397163120568</v>
      </c>
    </row>
    <row r="5" spans="1:12" ht="13.5" customHeight="1" x14ac:dyDescent="0.2">
      <c r="A5" s="275" t="str">
        <f>'問6S（表）'!A5:A6</f>
        <v>男性(n = 705 )　　</v>
      </c>
      <c r="B5" s="34">
        <f>'問6S（表）'!B5</f>
        <v>705</v>
      </c>
      <c r="C5" s="28">
        <v>515</v>
      </c>
      <c r="D5" s="29">
        <v>27</v>
      </c>
      <c r="E5" s="29">
        <v>153</v>
      </c>
      <c r="F5" s="30">
        <v>10</v>
      </c>
      <c r="H5" s="69" t="str">
        <f>A7</f>
        <v>女性(n = 901 )　　</v>
      </c>
      <c r="I5" s="78">
        <f>C8</f>
        <v>74.916759156492787</v>
      </c>
      <c r="J5" s="79">
        <f>D8</f>
        <v>3.7735849056603774</v>
      </c>
      <c r="K5" s="80">
        <f>E8</f>
        <v>20.310765815760266</v>
      </c>
      <c r="L5" s="81">
        <f>F8</f>
        <v>0.99889012208657058</v>
      </c>
    </row>
    <row r="6" spans="1:12" x14ac:dyDescent="0.2">
      <c r="A6" s="276"/>
      <c r="B6" s="20">
        <f>B5/$B$3*100</f>
        <v>43.626237623762378</v>
      </c>
      <c r="C6" s="20">
        <f>C5/$B5*100</f>
        <v>73.049645390070921</v>
      </c>
      <c r="D6" s="207">
        <f t="shared" ref="D6:F6" si="1">D5/$B5*100</f>
        <v>3.8297872340425529</v>
      </c>
      <c r="E6" s="207">
        <f t="shared" si="1"/>
        <v>21.702127659574469</v>
      </c>
      <c r="F6" s="208">
        <f t="shared" si="1"/>
        <v>1.4184397163120568</v>
      </c>
    </row>
    <row r="7" spans="1:12" ht="13.5" customHeight="1" x14ac:dyDescent="0.2">
      <c r="A7" s="275" t="str">
        <f>'問6S（表）'!A7:A8</f>
        <v>女性(n = 901 )　　</v>
      </c>
      <c r="B7" s="34">
        <f>'問6S（表）'!B7</f>
        <v>901</v>
      </c>
      <c r="C7" s="28">
        <v>675</v>
      </c>
      <c r="D7" s="29">
        <v>34</v>
      </c>
      <c r="E7" s="29">
        <v>183</v>
      </c>
      <c r="F7" s="30">
        <v>9</v>
      </c>
    </row>
    <row r="8" spans="1:12" x14ac:dyDescent="0.2">
      <c r="A8" s="276"/>
      <c r="B8" s="20">
        <f>B7/$B$3*100</f>
        <v>55.754950495049506</v>
      </c>
      <c r="C8" s="20">
        <f t="shared" ref="C8:F8" si="2">C7/$B7*100</f>
        <v>74.916759156492787</v>
      </c>
      <c r="D8" s="207">
        <f t="shared" si="2"/>
        <v>3.7735849056603774</v>
      </c>
      <c r="E8" s="207">
        <f t="shared" si="2"/>
        <v>20.310765815760266</v>
      </c>
      <c r="F8" s="208">
        <f t="shared" si="2"/>
        <v>0.99889012208657058</v>
      </c>
    </row>
    <row r="9" spans="1:12" s="186" customFormat="1" x14ac:dyDescent="0.2">
      <c r="A9" s="184"/>
      <c r="B9" s="182"/>
      <c r="C9" s="172">
        <v>1</v>
      </c>
      <c r="D9" s="172">
        <v>2</v>
      </c>
      <c r="E9" s="172">
        <v>3</v>
      </c>
      <c r="F9" s="172"/>
    </row>
    <row r="11" spans="1:12" x14ac:dyDescent="0.2">
      <c r="A11" s="3" t="s">
        <v>92</v>
      </c>
      <c r="B11" s="1" t="str">
        <f>B1</f>
        <v>今後も岐阜県に住み続けたいか</v>
      </c>
      <c r="C11" s="8"/>
      <c r="D11" s="8"/>
      <c r="E11" s="8"/>
      <c r="F11" s="9"/>
    </row>
    <row r="12" spans="1:12" ht="21" customHeight="1" x14ac:dyDescent="0.2">
      <c r="A12" s="12" t="s">
        <v>25</v>
      </c>
      <c r="B12" s="59" t="str">
        <f>B2</f>
        <v>調査数</v>
      </c>
      <c r="C12" s="60" t="str">
        <f t="shared" ref="C12:E12" si="3">C2</f>
        <v>はい</v>
      </c>
      <c r="D12" s="61" t="str">
        <f t="shared" si="3"/>
        <v>いいえ</v>
      </c>
      <c r="E12" s="62" t="str">
        <f t="shared" si="3"/>
        <v>わからない</v>
      </c>
      <c r="F12" s="63" t="s">
        <v>0</v>
      </c>
      <c r="G12" s="21" t="s">
        <v>32</v>
      </c>
      <c r="H12" s="12" t="str">
        <f>A12</f>
        <v>【年代別】</v>
      </c>
      <c r="I12" s="60" t="str">
        <f>C12</f>
        <v>はい</v>
      </c>
      <c r="J12" s="61" t="str">
        <f>D12</f>
        <v>いいえ</v>
      </c>
      <c r="K12" s="62" t="str">
        <f>E12</f>
        <v>わからない</v>
      </c>
      <c r="L12" s="63" t="str">
        <f>F12</f>
        <v>無回答</v>
      </c>
    </row>
    <row r="13" spans="1:12" ht="13.5" customHeight="1" x14ac:dyDescent="0.2">
      <c r="A13" s="275" t="str">
        <f>'問6S（表）'!A13:A14</f>
        <v>全体(n = 1,616 )　　</v>
      </c>
      <c r="B13" s="34">
        <f>'問6S（表）'!B13</f>
        <v>1616</v>
      </c>
      <c r="C13" s="31">
        <f>$C$3</f>
        <v>1195</v>
      </c>
      <c r="D13" s="32">
        <f>$D$3</f>
        <v>62</v>
      </c>
      <c r="E13" s="32">
        <f>$E$3</f>
        <v>339</v>
      </c>
      <c r="F13" s="33">
        <f>$F$3</f>
        <v>20</v>
      </c>
      <c r="H13" s="67" t="str">
        <f>A13</f>
        <v>全体(n = 1,616 )　　</v>
      </c>
      <c r="I13" s="70">
        <f>C14</f>
        <v>73.948019801980209</v>
      </c>
      <c r="J13" s="71">
        <f>D14</f>
        <v>3.8366336633663365</v>
      </c>
      <c r="K13" s="72">
        <f>E14</f>
        <v>20.977722772277225</v>
      </c>
      <c r="L13" s="73">
        <f>F14</f>
        <v>1.2376237623762376</v>
      </c>
    </row>
    <row r="14" spans="1:12" ht="13.5" customHeight="1" x14ac:dyDescent="0.2">
      <c r="A14" s="276"/>
      <c r="B14" s="35">
        <v>100</v>
      </c>
      <c r="C14" s="20">
        <f t="shared" ref="C14:F14" si="4">C13/$B13*100</f>
        <v>73.948019801980209</v>
      </c>
      <c r="D14" s="207">
        <f t="shared" si="4"/>
        <v>3.8366336633663365</v>
      </c>
      <c r="E14" s="207">
        <f t="shared" si="4"/>
        <v>20.977722772277225</v>
      </c>
      <c r="F14" s="208">
        <f t="shared" si="4"/>
        <v>1.2376237623762376</v>
      </c>
      <c r="H14" s="82" t="str">
        <f>A15</f>
        <v>18～19歳(n = 21 )　　</v>
      </c>
      <c r="I14" s="84">
        <f>C16</f>
        <v>19.047619047619047</v>
      </c>
      <c r="J14" s="85">
        <f t="shared" ref="J14:L14" si="5">D16</f>
        <v>28.571428571428569</v>
      </c>
      <c r="K14" s="86">
        <f t="shared" si="5"/>
        <v>52.380952380952387</v>
      </c>
      <c r="L14" s="87">
        <f t="shared" si="5"/>
        <v>0</v>
      </c>
    </row>
    <row r="15" spans="1:12" ht="13.5" customHeight="1" x14ac:dyDescent="0.2">
      <c r="A15" s="275" t="str">
        <f>'問6S（表）'!A15:A16</f>
        <v>18～19歳(n = 21 )　　</v>
      </c>
      <c r="B15" s="34">
        <f>'問6S（表）'!B15</f>
        <v>21</v>
      </c>
      <c r="C15" s="28">
        <v>4</v>
      </c>
      <c r="D15" s="29">
        <v>6</v>
      </c>
      <c r="E15" s="29">
        <v>11</v>
      </c>
      <c r="F15" s="30">
        <v>0</v>
      </c>
      <c r="H15" s="83" t="str">
        <f>A17</f>
        <v>20～29歳(n = 119 )　　</v>
      </c>
      <c r="I15" s="88">
        <f>C18</f>
        <v>61.344537815126053</v>
      </c>
      <c r="J15" s="89">
        <f t="shared" ref="J15:L15" si="6">D18</f>
        <v>8.4033613445378155</v>
      </c>
      <c r="K15" s="90">
        <f t="shared" si="6"/>
        <v>29.411764705882355</v>
      </c>
      <c r="L15" s="91">
        <f t="shared" si="6"/>
        <v>0.84033613445378152</v>
      </c>
    </row>
    <row r="16" spans="1:12" ht="13.5" customHeight="1" x14ac:dyDescent="0.2">
      <c r="A16" s="276"/>
      <c r="B16" s="20">
        <f>B15/$B$13*100</f>
        <v>1.2995049504950495</v>
      </c>
      <c r="C16" s="20">
        <f t="shared" ref="C16:F16" si="7">C15/$B15*100</f>
        <v>19.047619047619047</v>
      </c>
      <c r="D16" s="207">
        <f t="shared" si="7"/>
        <v>28.571428571428569</v>
      </c>
      <c r="E16" s="207">
        <f t="shared" si="7"/>
        <v>52.380952380952387</v>
      </c>
      <c r="F16" s="208">
        <f t="shared" si="7"/>
        <v>0</v>
      </c>
      <c r="H16" s="83" t="str">
        <f>A19</f>
        <v>30～39歳(n = 196 )　　</v>
      </c>
      <c r="I16" s="88">
        <f>C20</f>
        <v>70.408163265306129</v>
      </c>
      <c r="J16" s="89">
        <f>D20</f>
        <v>5.1020408163265305</v>
      </c>
      <c r="K16" s="90">
        <f>E20</f>
        <v>24.489795918367346</v>
      </c>
      <c r="L16" s="91">
        <f>F20</f>
        <v>0</v>
      </c>
    </row>
    <row r="17" spans="1:12" ht="13.5" customHeight="1" x14ac:dyDescent="0.2">
      <c r="A17" s="275" t="str">
        <f>'問6S（表）'!A17:A18</f>
        <v>20～29歳(n = 119 )　　</v>
      </c>
      <c r="B17" s="34">
        <f>'問6S（表）'!B17</f>
        <v>119</v>
      </c>
      <c r="C17" s="28">
        <v>73</v>
      </c>
      <c r="D17" s="29">
        <v>10</v>
      </c>
      <c r="E17" s="29">
        <v>35</v>
      </c>
      <c r="F17" s="30">
        <v>1</v>
      </c>
      <c r="H17" s="83" t="str">
        <f>A21</f>
        <v>40～49歳(n = 281 )　　</v>
      </c>
      <c r="I17" s="88">
        <f>C22</f>
        <v>71.886120996441278</v>
      </c>
      <c r="J17" s="89">
        <f>D22</f>
        <v>3.5587188612099649</v>
      </c>
      <c r="K17" s="90">
        <f>E22</f>
        <v>24.199288256227756</v>
      </c>
      <c r="L17" s="91">
        <f>F22</f>
        <v>0.35587188612099641</v>
      </c>
    </row>
    <row r="18" spans="1:12" ht="13.5" customHeight="1" x14ac:dyDescent="0.2">
      <c r="A18" s="276"/>
      <c r="B18" s="20">
        <f>B17/$B$13*100</f>
        <v>7.3638613861386135</v>
      </c>
      <c r="C18" s="20">
        <f t="shared" ref="C18:F18" si="8">C17/$B17*100</f>
        <v>61.344537815126053</v>
      </c>
      <c r="D18" s="207">
        <f t="shared" si="8"/>
        <v>8.4033613445378155</v>
      </c>
      <c r="E18" s="207">
        <f t="shared" si="8"/>
        <v>29.411764705882355</v>
      </c>
      <c r="F18" s="208">
        <f t="shared" si="8"/>
        <v>0.84033613445378152</v>
      </c>
      <c r="H18" s="83" t="str">
        <f>A23</f>
        <v>50～59歳(n = 320 )　　</v>
      </c>
      <c r="I18" s="88">
        <f>C24</f>
        <v>67.8125</v>
      </c>
      <c r="J18" s="89">
        <f>D24</f>
        <v>2.8125</v>
      </c>
      <c r="K18" s="90">
        <f>E24</f>
        <v>28.4375</v>
      </c>
      <c r="L18" s="91">
        <f>F24</f>
        <v>0.9375</v>
      </c>
    </row>
    <row r="19" spans="1:12" ht="13.5" customHeight="1" x14ac:dyDescent="0.2">
      <c r="A19" s="275" t="str">
        <f>'問6S（表）'!A19:A20</f>
        <v>30～39歳(n = 196 )　　</v>
      </c>
      <c r="B19" s="34">
        <f>'問6S（表）'!B19</f>
        <v>196</v>
      </c>
      <c r="C19" s="28">
        <v>138</v>
      </c>
      <c r="D19" s="29">
        <v>10</v>
      </c>
      <c r="E19" s="29">
        <v>48</v>
      </c>
      <c r="F19" s="30">
        <v>0</v>
      </c>
      <c r="H19" s="83" t="str">
        <f>A25</f>
        <v>60～69歳(n = 352 )　　</v>
      </c>
      <c r="I19" s="88">
        <f>C26</f>
        <v>79.829545454545453</v>
      </c>
      <c r="J19" s="89">
        <f>D26</f>
        <v>3.125</v>
      </c>
      <c r="K19" s="90">
        <f>E26</f>
        <v>15.340909090909092</v>
      </c>
      <c r="L19" s="91">
        <f>F26</f>
        <v>1.7045454545454544</v>
      </c>
    </row>
    <row r="20" spans="1:12" ht="13.5" customHeight="1" x14ac:dyDescent="0.2">
      <c r="A20" s="276"/>
      <c r="B20" s="20">
        <f>B19/$B$13*100</f>
        <v>12.128712871287128</v>
      </c>
      <c r="C20" s="20">
        <f t="shared" ref="C20:F20" si="9">C19/$B19*100</f>
        <v>70.408163265306129</v>
      </c>
      <c r="D20" s="207">
        <f t="shared" si="9"/>
        <v>5.1020408163265305</v>
      </c>
      <c r="E20" s="207">
        <f t="shared" si="9"/>
        <v>24.489795918367346</v>
      </c>
      <c r="F20" s="208">
        <f t="shared" si="9"/>
        <v>0</v>
      </c>
      <c r="H20" s="69" t="str">
        <f>A27</f>
        <v>70歳以上(n = 315 )　　</v>
      </c>
      <c r="I20" s="78">
        <f>C28</f>
        <v>86.984126984126988</v>
      </c>
      <c r="J20" s="79">
        <f>D28</f>
        <v>1.5873015873015872</v>
      </c>
      <c r="K20" s="80">
        <f>E28</f>
        <v>8.5714285714285712</v>
      </c>
      <c r="L20" s="81">
        <f>F28</f>
        <v>2.8571428571428572</v>
      </c>
    </row>
    <row r="21" spans="1:12" ht="13.5" customHeight="1" x14ac:dyDescent="0.2">
      <c r="A21" s="275" t="str">
        <f>'問6S（表）'!A21:A22</f>
        <v>40～49歳(n = 281 )　　</v>
      </c>
      <c r="B21" s="34">
        <f>'問6S（表）'!B21</f>
        <v>281</v>
      </c>
      <c r="C21" s="28">
        <v>202</v>
      </c>
      <c r="D21" s="29">
        <v>10</v>
      </c>
      <c r="E21" s="29">
        <v>68</v>
      </c>
      <c r="F21" s="30">
        <v>1</v>
      </c>
    </row>
    <row r="22" spans="1:12" x14ac:dyDescent="0.2">
      <c r="A22" s="276"/>
      <c r="B22" s="20">
        <f>B21/$B$13*100</f>
        <v>17.388613861386137</v>
      </c>
      <c r="C22" s="20">
        <f t="shared" ref="C22:F22" si="10">C21/$B21*100</f>
        <v>71.886120996441278</v>
      </c>
      <c r="D22" s="207">
        <f t="shared" si="10"/>
        <v>3.5587188612099649</v>
      </c>
      <c r="E22" s="207">
        <f t="shared" si="10"/>
        <v>24.199288256227756</v>
      </c>
      <c r="F22" s="208">
        <f t="shared" si="10"/>
        <v>0.35587188612099641</v>
      </c>
    </row>
    <row r="23" spans="1:12" x14ac:dyDescent="0.2">
      <c r="A23" s="275" t="str">
        <f>'問6S（表）'!A23:A24</f>
        <v>50～59歳(n = 320 )　　</v>
      </c>
      <c r="B23" s="34">
        <f>'問6S（表）'!B23</f>
        <v>320</v>
      </c>
      <c r="C23" s="28">
        <v>217</v>
      </c>
      <c r="D23" s="29">
        <v>9</v>
      </c>
      <c r="E23" s="29">
        <v>91</v>
      </c>
      <c r="F23" s="30">
        <v>3</v>
      </c>
    </row>
    <row r="24" spans="1:12" x14ac:dyDescent="0.2">
      <c r="A24" s="276"/>
      <c r="B24" s="20">
        <f>B23/$B$13*100</f>
        <v>19.801980198019802</v>
      </c>
      <c r="C24" s="20">
        <f t="shared" ref="C24" si="11">C23/$B23*100</f>
        <v>67.8125</v>
      </c>
      <c r="D24" s="207">
        <f t="shared" ref="D24" si="12">D23/$B23*100</f>
        <v>2.8125</v>
      </c>
      <c r="E24" s="207">
        <f t="shared" ref="E24" si="13">E23/$B23*100</f>
        <v>28.4375</v>
      </c>
      <c r="F24" s="208">
        <f t="shared" ref="F24" si="14">F23/$B23*100</f>
        <v>0.9375</v>
      </c>
    </row>
    <row r="25" spans="1:12" x14ac:dyDescent="0.2">
      <c r="A25" s="275" t="str">
        <f>'問6S（表）'!A25:A26</f>
        <v>60～69歳(n = 352 )　　</v>
      </c>
      <c r="B25" s="34">
        <f>'問6S（表）'!B25</f>
        <v>352</v>
      </c>
      <c r="C25" s="28">
        <v>281</v>
      </c>
      <c r="D25" s="29">
        <v>11</v>
      </c>
      <c r="E25" s="29">
        <v>54</v>
      </c>
      <c r="F25" s="30">
        <v>6</v>
      </c>
    </row>
    <row r="26" spans="1:12" x14ac:dyDescent="0.2">
      <c r="A26" s="276"/>
      <c r="B26" s="20">
        <f>B25/$B$13*100</f>
        <v>21.782178217821784</v>
      </c>
      <c r="C26" s="20">
        <f t="shared" ref="C26" si="15">C25/$B25*100</f>
        <v>79.829545454545453</v>
      </c>
      <c r="D26" s="207">
        <f t="shared" ref="D26" si="16">D25/$B25*100</f>
        <v>3.125</v>
      </c>
      <c r="E26" s="207">
        <f t="shared" ref="E26" si="17">E25/$B25*100</f>
        <v>15.340909090909092</v>
      </c>
      <c r="F26" s="208">
        <f t="shared" ref="F26" si="18">F25/$B25*100</f>
        <v>1.7045454545454544</v>
      </c>
    </row>
    <row r="27" spans="1:12" x14ac:dyDescent="0.2">
      <c r="A27" s="275" t="str">
        <f>'問6S（表）'!A27:A28</f>
        <v>70歳以上(n = 315 )　　</v>
      </c>
      <c r="B27" s="34">
        <f>'問6S（表）'!B27</f>
        <v>315</v>
      </c>
      <c r="C27" s="28">
        <v>274</v>
      </c>
      <c r="D27" s="29">
        <v>5</v>
      </c>
      <c r="E27" s="29">
        <v>27</v>
      </c>
      <c r="F27" s="30">
        <v>9</v>
      </c>
    </row>
    <row r="28" spans="1:12" x14ac:dyDescent="0.2">
      <c r="A28" s="276"/>
      <c r="B28" s="20">
        <f>B27/$B$13*100</f>
        <v>19.492574257425744</v>
      </c>
      <c r="C28" s="20">
        <f t="shared" ref="C28" si="19">C27/$B27*100</f>
        <v>86.984126984126988</v>
      </c>
      <c r="D28" s="207">
        <f t="shared" ref="D28" si="20">D27/$B27*100</f>
        <v>1.5873015873015872</v>
      </c>
      <c r="E28" s="207">
        <f t="shared" ref="E28" si="21">E27/$B27*100</f>
        <v>8.5714285714285712</v>
      </c>
      <c r="F28" s="208">
        <f t="shared" ref="F28" si="22">F27/$B27*100</f>
        <v>2.8571428571428572</v>
      </c>
    </row>
    <row r="30" spans="1:12" ht="13.5" customHeight="1" x14ac:dyDescent="0.2">
      <c r="A30" s="3" t="s">
        <v>97</v>
      </c>
      <c r="B30" s="1" t="str">
        <f>B11</f>
        <v>今後も岐阜県に住み続けたいか</v>
      </c>
      <c r="C30" s="8"/>
      <c r="D30" s="8"/>
      <c r="E30" s="8"/>
      <c r="F30" s="9"/>
    </row>
    <row r="31" spans="1:12" ht="21" customHeight="1" x14ac:dyDescent="0.2">
      <c r="A31" s="13" t="s">
        <v>27</v>
      </c>
      <c r="B31" s="59" t="str">
        <f>B12</f>
        <v>調査数</v>
      </c>
      <c r="C31" s="60" t="str">
        <f>C12</f>
        <v>はい</v>
      </c>
      <c r="D31" s="61" t="str">
        <f>D12</f>
        <v>いいえ</v>
      </c>
      <c r="E31" s="62" t="str">
        <f>E12</f>
        <v>わからない</v>
      </c>
      <c r="F31" s="63" t="str">
        <f>F12</f>
        <v>無回答</v>
      </c>
      <c r="G31" s="21" t="s">
        <v>32</v>
      </c>
      <c r="H31" s="13" t="str">
        <f>A31</f>
        <v>【居住圏域別】</v>
      </c>
      <c r="I31" s="60" t="str">
        <f>C31</f>
        <v>はい</v>
      </c>
      <c r="J31" s="61" t="str">
        <f>D31</f>
        <v>いいえ</v>
      </c>
      <c r="K31" s="62" t="str">
        <f>E31</f>
        <v>わからない</v>
      </c>
      <c r="L31" s="63" t="str">
        <f>F31</f>
        <v>無回答</v>
      </c>
    </row>
    <row r="32" spans="1:12" ht="13.5" customHeight="1" x14ac:dyDescent="0.2">
      <c r="A32" s="275" t="str">
        <f>'問6S（表）'!A32:A33</f>
        <v>全体(n = 1,616 )　　</v>
      </c>
      <c r="B32" s="34">
        <f>'問6S（表）'!B32</f>
        <v>1616</v>
      </c>
      <c r="C32" s="31">
        <f>$C$3</f>
        <v>1195</v>
      </c>
      <c r="D32" s="32">
        <f>$D$3</f>
        <v>62</v>
      </c>
      <c r="E32" s="32">
        <f>$E$3</f>
        <v>339</v>
      </c>
      <c r="F32" s="33">
        <f>$F$3</f>
        <v>20</v>
      </c>
      <c r="H32" s="67" t="str">
        <f>A32</f>
        <v>全体(n = 1,616 )　　</v>
      </c>
      <c r="I32" s="70">
        <f>C33</f>
        <v>73.948019801980209</v>
      </c>
      <c r="J32" s="71">
        <f>D33</f>
        <v>3.8366336633663365</v>
      </c>
      <c r="K32" s="72">
        <f>E33</f>
        <v>20.977722772277225</v>
      </c>
      <c r="L32" s="73">
        <f>F33</f>
        <v>1.2376237623762376</v>
      </c>
    </row>
    <row r="33" spans="1:12" ht="13.5" customHeight="1" x14ac:dyDescent="0.2">
      <c r="A33" s="276"/>
      <c r="B33" s="35">
        <v>100</v>
      </c>
      <c r="C33" s="20">
        <f t="shared" ref="C33" si="23">C32/$B32*100</f>
        <v>73.948019801980209</v>
      </c>
      <c r="D33" s="207">
        <f t="shared" ref="D33" si="24">D32/$B32*100</f>
        <v>3.8366336633663365</v>
      </c>
      <c r="E33" s="207">
        <f t="shared" ref="E33" si="25">E32/$B32*100</f>
        <v>20.977722772277225</v>
      </c>
      <c r="F33" s="208">
        <f t="shared" ref="F33" si="26">F32/$B32*100</f>
        <v>1.2376237623762376</v>
      </c>
      <c r="H33" s="82" t="str">
        <f>A34</f>
        <v>岐阜圏域(n = 617 )　　</v>
      </c>
      <c r="I33" s="84">
        <f>C35</f>
        <v>75.040518638573744</v>
      </c>
      <c r="J33" s="85">
        <f>D35</f>
        <v>3.2414910858995136</v>
      </c>
      <c r="K33" s="86">
        <f>E35</f>
        <v>20.745542949756889</v>
      </c>
      <c r="L33" s="87">
        <f>F35</f>
        <v>0.97244732576985426</v>
      </c>
    </row>
    <row r="34" spans="1:12" ht="13.5" customHeight="1" x14ac:dyDescent="0.2">
      <c r="A34" s="275" t="str">
        <f>'問6S（表）'!A34:A35</f>
        <v>岐阜圏域(n = 617 )　　</v>
      </c>
      <c r="B34" s="34">
        <f>'問6S（表）'!B34</f>
        <v>617</v>
      </c>
      <c r="C34" s="28">
        <v>463</v>
      </c>
      <c r="D34" s="29">
        <v>20</v>
      </c>
      <c r="E34" s="29">
        <v>128</v>
      </c>
      <c r="F34" s="30">
        <v>6</v>
      </c>
      <c r="G34" s="170">
        <v>1</v>
      </c>
      <c r="H34" s="83" t="str">
        <f>A36</f>
        <v>西濃圏域(n = 290 )　　</v>
      </c>
      <c r="I34" s="88">
        <f>C37</f>
        <v>80</v>
      </c>
      <c r="J34" s="89">
        <f>D37</f>
        <v>2.7586206896551726</v>
      </c>
      <c r="K34" s="90">
        <f>E37</f>
        <v>16.551724137931036</v>
      </c>
      <c r="L34" s="91">
        <f>F37</f>
        <v>0.68965517241379315</v>
      </c>
    </row>
    <row r="35" spans="1:12" ht="13.5" customHeight="1" x14ac:dyDescent="0.2">
      <c r="A35" s="276"/>
      <c r="B35" s="20">
        <f>B34/$B$13*100</f>
        <v>38.180693069306933</v>
      </c>
      <c r="C35" s="20">
        <f t="shared" ref="C35" si="27">C34/$B34*100</f>
        <v>75.040518638573744</v>
      </c>
      <c r="D35" s="207">
        <f t="shared" ref="D35" si="28">D34/$B34*100</f>
        <v>3.2414910858995136</v>
      </c>
      <c r="E35" s="207">
        <f t="shared" ref="E35" si="29">E34/$B34*100</f>
        <v>20.745542949756889</v>
      </c>
      <c r="F35" s="208">
        <f t="shared" ref="F35" si="30">F34/$B34*100</f>
        <v>0.97244732576985426</v>
      </c>
      <c r="H35" s="83" t="str">
        <f>A38</f>
        <v>中濃圏域(n = 300 )　　</v>
      </c>
      <c r="I35" s="88">
        <f>C39</f>
        <v>74.666666666666671</v>
      </c>
      <c r="J35" s="89">
        <f>D39</f>
        <v>3</v>
      </c>
      <c r="K35" s="90">
        <f>E39</f>
        <v>21.666666666666668</v>
      </c>
      <c r="L35" s="91">
        <f>F39</f>
        <v>0.66666666666666674</v>
      </c>
    </row>
    <row r="36" spans="1:12" ht="13.5" customHeight="1" x14ac:dyDescent="0.2">
      <c r="A36" s="275" t="str">
        <f>'問6S（表）'!A36:A37</f>
        <v>西濃圏域(n = 290 )　　</v>
      </c>
      <c r="B36" s="34">
        <f>'問6S（表）'!B36</f>
        <v>290</v>
      </c>
      <c r="C36" s="28">
        <v>232</v>
      </c>
      <c r="D36" s="29">
        <v>8</v>
      </c>
      <c r="E36" s="29">
        <v>48</v>
      </c>
      <c r="F36" s="30">
        <v>2</v>
      </c>
      <c r="G36" s="170">
        <v>2</v>
      </c>
      <c r="H36" s="83" t="str">
        <f>A40</f>
        <v>東濃圏域(n = 271 )　　</v>
      </c>
      <c r="I36" s="88">
        <f>C41</f>
        <v>69.372693726937271</v>
      </c>
      <c r="J36" s="89">
        <f>D41</f>
        <v>6.2730627306273057</v>
      </c>
      <c r="K36" s="90">
        <f>E41</f>
        <v>22.140221402214021</v>
      </c>
      <c r="L36" s="91">
        <f>F41</f>
        <v>2.214022140221402</v>
      </c>
    </row>
    <row r="37" spans="1:12" ht="13.5" customHeight="1" x14ac:dyDescent="0.2">
      <c r="A37" s="276"/>
      <c r="B37" s="20">
        <f>B36/$B$13*100</f>
        <v>17.945544554455445</v>
      </c>
      <c r="C37" s="20">
        <f t="shared" ref="C37" si="31">C36/$B36*100</f>
        <v>80</v>
      </c>
      <c r="D37" s="207">
        <f t="shared" ref="D37" si="32">D36/$B36*100</f>
        <v>2.7586206896551726</v>
      </c>
      <c r="E37" s="207">
        <f t="shared" ref="E37" si="33">E36/$B36*100</f>
        <v>16.551724137931036</v>
      </c>
      <c r="F37" s="208">
        <f t="shared" ref="F37" si="34">F36/$B36*100</f>
        <v>0.68965517241379315</v>
      </c>
      <c r="H37" s="69" t="str">
        <f>A42</f>
        <v>飛騨圏域(n = 106 )　　</v>
      </c>
      <c r="I37" s="78">
        <f>C43</f>
        <v>66.981132075471692</v>
      </c>
      <c r="J37" s="79">
        <f>D43</f>
        <v>4.716981132075472</v>
      </c>
      <c r="K37" s="80">
        <f>E43</f>
        <v>25.471698113207548</v>
      </c>
      <c r="L37" s="81">
        <f>F43</f>
        <v>2.8301886792452833</v>
      </c>
    </row>
    <row r="38" spans="1:12" x14ac:dyDescent="0.2">
      <c r="A38" s="275" t="str">
        <f>'問6S（表）'!A38:A39</f>
        <v>中濃圏域(n = 300 )　　</v>
      </c>
      <c r="B38" s="34">
        <f>'問6S（表）'!B38</f>
        <v>300</v>
      </c>
      <c r="C38" s="28">
        <v>224</v>
      </c>
      <c r="D38" s="29">
        <v>9</v>
      </c>
      <c r="E38" s="29">
        <v>65</v>
      </c>
      <c r="F38" s="30">
        <v>2</v>
      </c>
      <c r="G38" s="170">
        <v>3</v>
      </c>
    </row>
    <row r="39" spans="1:12" x14ac:dyDescent="0.2">
      <c r="A39" s="276"/>
      <c r="B39" s="20">
        <f>B38/$B$13*100</f>
        <v>18.564356435643564</v>
      </c>
      <c r="C39" s="20">
        <f t="shared" ref="C39" si="35">C38/$B38*100</f>
        <v>74.666666666666671</v>
      </c>
      <c r="D39" s="207">
        <f t="shared" ref="D39" si="36">D38/$B38*100</f>
        <v>3</v>
      </c>
      <c r="E39" s="207">
        <f t="shared" ref="E39" si="37">E38/$B38*100</f>
        <v>21.666666666666668</v>
      </c>
      <c r="F39" s="208">
        <f t="shared" ref="F39" si="38">F38/$B38*100</f>
        <v>0.66666666666666674</v>
      </c>
    </row>
    <row r="40" spans="1:12" x14ac:dyDescent="0.2">
      <c r="A40" s="275" t="str">
        <f>'問6S（表）'!A40:A41</f>
        <v>東濃圏域(n = 271 )　　</v>
      </c>
      <c r="B40" s="34">
        <f>'問6S（表）'!B40</f>
        <v>271</v>
      </c>
      <c r="C40" s="28">
        <v>188</v>
      </c>
      <c r="D40" s="29">
        <v>17</v>
      </c>
      <c r="E40" s="29">
        <v>60</v>
      </c>
      <c r="F40" s="30">
        <v>6</v>
      </c>
      <c r="G40" s="170">
        <v>4</v>
      </c>
    </row>
    <row r="41" spans="1:12" x14ac:dyDescent="0.2">
      <c r="A41" s="276"/>
      <c r="B41" s="20">
        <f>B40/$B$13*100</f>
        <v>16.769801980198022</v>
      </c>
      <c r="C41" s="20">
        <f t="shared" ref="C41" si="39">C40/$B40*100</f>
        <v>69.372693726937271</v>
      </c>
      <c r="D41" s="207">
        <f t="shared" ref="D41" si="40">D40/$B40*100</f>
        <v>6.2730627306273057</v>
      </c>
      <c r="E41" s="207">
        <f t="shared" ref="E41" si="41">E40/$B40*100</f>
        <v>22.140221402214021</v>
      </c>
      <c r="F41" s="208">
        <f t="shared" ref="F41" si="42">F40/$B40*100</f>
        <v>2.214022140221402</v>
      </c>
    </row>
    <row r="42" spans="1:12" x14ac:dyDescent="0.2">
      <c r="A42" s="275" t="str">
        <f>'問6S（表）'!A42:A43</f>
        <v>飛騨圏域(n = 106 )　　</v>
      </c>
      <c r="B42" s="34">
        <f>'問6S（表）'!B42</f>
        <v>106</v>
      </c>
      <c r="C42" s="28">
        <v>71</v>
      </c>
      <c r="D42" s="29">
        <v>5</v>
      </c>
      <c r="E42" s="29">
        <v>27</v>
      </c>
      <c r="F42" s="30">
        <v>3</v>
      </c>
      <c r="G42" s="170">
        <v>5</v>
      </c>
    </row>
    <row r="43" spans="1:12" x14ac:dyDescent="0.2">
      <c r="A43" s="276"/>
      <c r="B43" s="20">
        <f>B42/$B$13*100</f>
        <v>6.5594059405940595</v>
      </c>
      <c r="C43" s="20">
        <f t="shared" ref="C43" si="43">C42/$B42*100</f>
        <v>66.981132075471692</v>
      </c>
      <c r="D43" s="207">
        <f t="shared" ref="D43" si="44">D42/$B42*100</f>
        <v>4.716981132075472</v>
      </c>
      <c r="E43" s="207">
        <f t="shared" ref="E43" si="45">E42/$B42*100</f>
        <v>25.471698113207548</v>
      </c>
      <c r="F43" s="208">
        <f t="shared" ref="F43" si="46">F42/$B42*100</f>
        <v>2.8301886792452833</v>
      </c>
    </row>
    <row r="45" spans="1:12" ht="13.5" customHeight="1" x14ac:dyDescent="0.2">
      <c r="A45" s="3" t="s">
        <v>98</v>
      </c>
      <c r="B45" s="1" t="str">
        <f>B30</f>
        <v>今後も岐阜県に住み続けたいか</v>
      </c>
      <c r="C45" s="8"/>
      <c r="D45" s="8"/>
      <c r="E45" s="8"/>
      <c r="F45" s="9"/>
    </row>
    <row r="46" spans="1:12" ht="21" customHeight="1" x14ac:dyDescent="0.2">
      <c r="A46" s="13" t="s">
        <v>107</v>
      </c>
      <c r="B46" s="59" t="str">
        <f>B31</f>
        <v>調査数</v>
      </c>
      <c r="C46" s="60" t="str">
        <f t="shared" ref="C46:F46" si="47">C31</f>
        <v>はい</v>
      </c>
      <c r="D46" s="61" t="str">
        <f t="shared" si="47"/>
        <v>いいえ</v>
      </c>
      <c r="E46" s="62" t="str">
        <f t="shared" si="47"/>
        <v>わからない</v>
      </c>
      <c r="F46" s="63" t="str">
        <f t="shared" si="47"/>
        <v>無回答</v>
      </c>
      <c r="G46" s="21" t="s">
        <v>32</v>
      </c>
      <c r="H46" s="12" t="str">
        <f>A46</f>
        <v>【通勤先別】</v>
      </c>
      <c r="I46" s="60" t="str">
        <f>C46</f>
        <v>はい</v>
      </c>
      <c r="J46" s="61" t="str">
        <f>D46</f>
        <v>いいえ</v>
      </c>
      <c r="K46" s="62" t="str">
        <f>E46</f>
        <v>わからない</v>
      </c>
      <c r="L46" s="63" t="str">
        <f>F46</f>
        <v>無回答</v>
      </c>
    </row>
    <row r="47" spans="1:12" ht="13.5" customHeight="1" x14ac:dyDescent="0.2">
      <c r="A47" s="301" t="str">
        <f>"全体(n = "&amp;B47&amp;" )　　"</f>
        <v>全体(n = 1616 )　　</v>
      </c>
      <c r="B47" s="34">
        <f>SUM(C47:F47)</f>
        <v>1616</v>
      </c>
      <c r="C47" s="31">
        <f>$C$3</f>
        <v>1195</v>
      </c>
      <c r="D47" s="32">
        <f>$D$3</f>
        <v>62</v>
      </c>
      <c r="E47" s="32">
        <f>$E$3</f>
        <v>339</v>
      </c>
      <c r="F47" s="33">
        <f>$F$3</f>
        <v>20</v>
      </c>
      <c r="H47" s="67" t="s">
        <v>248</v>
      </c>
      <c r="I47" s="70">
        <f>C48</f>
        <v>73.948019801980209</v>
      </c>
      <c r="J47" s="71">
        <f>D48</f>
        <v>3.8366336633663365</v>
      </c>
      <c r="K47" s="72">
        <f>E48</f>
        <v>20.977722772277225</v>
      </c>
      <c r="L47" s="73">
        <f>F48</f>
        <v>1.2376237623762376</v>
      </c>
    </row>
    <row r="48" spans="1:12" ht="13.5" customHeight="1" x14ac:dyDescent="0.2">
      <c r="A48" s="302"/>
      <c r="B48" s="35">
        <v>100</v>
      </c>
      <c r="C48" s="20">
        <f t="shared" ref="C48" si="48">C47/$B47*100</f>
        <v>73.948019801980209</v>
      </c>
      <c r="D48" s="207">
        <f t="shared" ref="D48" si="49">D47/$B47*100</f>
        <v>3.8366336633663365</v>
      </c>
      <c r="E48" s="207">
        <f t="shared" ref="E48" si="50">E47/$B47*100</f>
        <v>20.977722772277225</v>
      </c>
      <c r="F48" s="208">
        <f t="shared" ref="F48" si="51">F47/$B47*100</f>
        <v>1.2376237623762376</v>
      </c>
      <c r="H48" s="82" t="str">
        <f>A49</f>
        <v>居住している市町村(n = 537 )　　</v>
      </c>
      <c r="I48" s="84">
        <f>C50</f>
        <v>73.3705772811918</v>
      </c>
      <c r="J48" s="85">
        <f>D50</f>
        <v>3.9106145251396649</v>
      </c>
      <c r="K48" s="86">
        <f>E50</f>
        <v>21.042830540037244</v>
      </c>
      <c r="L48" s="87">
        <f>F50</f>
        <v>1.6759776536312849</v>
      </c>
    </row>
    <row r="49" spans="1:12" ht="13.5" customHeight="1" x14ac:dyDescent="0.2">
      <c r="A49" s="273" t="str">
        <f>"居住している市町村(n = "&amp;B49&amp;" )　　"</f>
        <v>居住している市町村(n = 537 )　　</v>
      </c>
      <c r="B49" s="34">
        <f>SUM(C49:F49)</f>
        <v>537</v>
      </c>
      <c r="C49" s="28">
        <v>394</v>
      </c>
      <c r="D49" s="29">
        <v>21</v>
      </c>
      <c r="E49" s="29">
        <v>113</v>
      </c>
      <c r="F49" s="30">
        <v>9</v>
      </c>
      <c r="G49" s="170">
        <v>1</v>
      </c>
      <c r="H49" s="83" t="str">
        <f>A51</f>
        <v>県内の他の市町村(n = 317 )　　</v>
      </c>
      <c r="I49" s="88">
        <f>C52</f>
        <v>70.662460567823345</v>
      </c>
      <c r="J49" s="89">
        <f>D52</f>
        <v>5.9936908517350158</v>
      </c>
      <c r="K49" s="90">
        <f>E52</f>
        <v>23.028391167192432</v>
      </c>
      <c r="L49" s="91">
        <f>F52</f>
        <v>0.31545741324921134</v>
      </c>
    </row>
    <row r="50" spans="1:12" ht="13.5" customHeight="1" x14ac:dyDescent="0.2">
      <c r="A50" s="274"/>
      <c r="B50" s="20">
        <f>B49/$B$13*100</f>
        <v>33.230198019801982</v>
      </c>
      <c r="C50" s="20">
        <f t="shared" ref="C50" si="52">C49/$B49*100</f>
        <v>73.3705772811918</v>
      </c>
      <c r="D50" s="207">
        <f t="shared" ref="D50" si="53">D49/$B49*100</f>
        <v>3.9106145251396649</v>
      </c>
      <c r="E50" s="207">
        <f t="shared" ref="E50" si="54">E49/$B49*100</f>
        <v>21.042830540037244</v>
      </c>
      <c r="F50" s="208">
        <f t="shared" ref="F50" si="55">F49/$B49*100</f>
        <v>1.6759776536312849</v>
      </c>
      <c r="H50" s="69" t="str">
        <f>A53</f>
        <v>県外の市町村(n = 128 )　　</v>
      </c>
      <c r="I50" s="78">
        <f>C54</f>
        <v>60.9375</v>
      </c>
      <c r="J50" s="79">
        <f>D54</f>
        <v>6.25</v>
      </c>
      <c r="K50" s="80">
        <f>E54</f>
        <v>32.8125</v>
      </c>
      <c r="L50" s="81">
        <f>F54</f>
        <v>0</v>
      </c>
    </row>
    <row r="51" spans="1:12" ht="13.5" customHeight="1" x14ac:dyDescent="0.2">
      <c r="A51" s="273" t="str">
        <f>"県内の他の市町村(n = "&amp;B51&amp;" )　　"</f>
        <v>県内の他の市町村(n = 317 )　　</v>
      </c>
      <c r="B51" s="34">
        <f>SUM(C51:F51)</f>
        <v>317</v>
      </c>
      <c r="C51" s="28">
        <v>224</v>
      </c>
      <c r="D51" s="29">
        <v>19</v>
      </c>
      <c r="E51" s="29">
        <v>73</v>
      </c>
      <c r="F51" s="30">
        <v>1</v>
      </c>
      <c r="G51" s="170">
        <v>2</v>
      </c>
    </row>
    <row r="52" spans="1:12" x14ac:dyDescent="0.2">
      <c r="A52" s="274"/>
      <c r="B52" s="20">
        <f>B51/$B$13*100</f>
        <v>19.616336633663366</v>
      </c>
      <c r="C52" s="20">
        <f t="shared" ref="C52" si="56">C51/$B51*100</f>
        <v>70.662460567823345</v>
      </c>
      <c r="D52" s="207">
        <f t="shared" ref="D52" si="57">D51/$B51*100</f>
        <v>5.9936908517350158</v>
      </c>
      <c r="E52" s="207">
        <f t="shared" ref="E52" si="58">E51/$B51*100</f>
        <v>23.028391167192432</v>
      </c>
      <c r="F52" s="208">
        <f t="shared" ref="F52" si="59">F51/$B51*100</f>
        <v>0.31545741324921134</v>
      </c>
    </row>
    <row r="53" spans="1:12" ht="13.5" customHeight="1" x14ac:dyDescent="0.2">
      <c r="A53" s="273" t="str">
        <f>"県外の市町村(n = "&amp;B53&amp;" )　　"</f>
        <v>県外の市町村(n = 128 )　　</v>
      </c>
      <c r="B53" s="34">
        <f>SUM(C53:F53)</f>
        <v>128</v>
      </c>
      <c r="C53" s="28">
        <v>78</v>
      </c>
      <c r="D53" s="29">
        <v>8</v>
      </c>
      <c r="E53" s="29">
        <v>42</v>
      </c>
      <c r="F53" s="30">
        <v>0</v>
      </c>
      <c r="G53" s="170">
        <v>3</v>
      </c>
    </row>
    <row r="54" spans="1:12" x14ac:dyDescent="0.2">
      <c r="A54" s="274"/>
      <c r="B54" s="20">
        <f>B53/$B$13*100</f>
        <v>7.9207920792079207</v>
      </c>
      <c r="C54" s="20">
        <f t="shared" ref="C54" si="60">C53/$B53*100</f>
        <v>60.9375</v>
      </c>
      <c r="D54" s="207">
        <f t="shared" ref="D54" si="61">D53/$B53*100</f>
        <v>6.25</v>
      </c>
      <c r="E54" s="207">
        <f t="shared" ref="E54" si="62">E53/$B53*100</f>
        <v>32.8125</v>
      </c>
      <c r="F54" s="208">
        <f t="shared" ref="F54" si="63">F53/$B53*100</f>
        <v>0</v>
      </c>
    </row>
    <row r="56" spans="1:12" ht="13.5" customHeight="1" x14ac:dyDescent="0.2">
      <c r="A56" s="3" t="s">
        <v>147</v>
      </c>
      <c r="B56" s="1" t="str">
        <f>B30</f>
        <v>今後も岐阜県に住み続けたいか</v>
      </c>
      <c r="C56" s="8"/>
      <c r="D56" s="8"/>
      <c r="E56" s="8"/>
      <c r="F56" s="9"/>
    </row>
    <row r="57" spans="1:12" ht="21" customHeight="1" x14ac:dyDescent="0.2">
      <c r="A57" s="13" t="s">
        <v>108</v>
      </c>
      <c r="B57" s="59" t="str">
        <f>B31</f>
        <v>調査数</v>
      </c>
      <c r="C57" s="60" t="str">
        <f>C31</f>
        <v>はい</v>
      </c>
      <c r="D57" s="61" t="str">
        <f>D31</f>
        <v>いいえ</v>
      </c>
      <c r="E57" s="62" t="str">
        <f>E31</f>
        <v>わからない</v>
      </c>
      <c r="F57" s="63" t="str">
        <f>F31</f>
        <v>無回答</v>
      </c>
      <c r="G57" s="21" t="s">
        <v>32</v>
      </c>
      <c r="H57" s="13" t="str">
        <f>A57</f>
        <v>【県外居住経験別】</v>
      </c>
      <c r="I57" s="60" t="str">
        <f>C57</f>
        <v>はい</v>
      </c>
      <c r="J57" s="61" t="str">
        <f>D57</f>
        <v>いいえ</v>
      </c>
      <c r="K57" s="62" t="str">
        <f>E57</f>
        <v>わからない</v>
      </c>
      <c r="L57" s="63" t="str">
        <f>F57</f>
        <v>無回答</v>
      </c>
    </row>
    <row r="58" spans="1:12" ht="13.5" customHeight="1" x14ac:dyDescent="0.2">
      <c r="A58" s="275" t="str">
        <f>A32</f>
        <v>全体(n = 1,616 )　　</v>
      </c>
      <c r="B58" s="34">
        <f>SUM(C58:F58)</f>
        <v>1616</v>
      </c>
      <c r="C58" s="31">
        <f>$C$3</f>
        <v>1195</v>
      </c>
      <c r="D58" s="32">
        <f>$D$3</f>
        <v>62</v>
      </c>
      <c r="E58" s="32">
        <f>$E$3</f>
        <v>339</v>
      </c>
      <c r="F58" s="33">
        <f>$F$3</f>
        <v>20</v>
      </c>
      <c r="H58" s="67" t="str">
        <f>A58</f>
        <v>全体(n = 1,616 )　　</v>
      </c>
      <c r="I58" s="70">
        <f>C59</f>
        <v>73.948019801980209</v>
      </c>
      <c r="J58" s="71">
        <f>D59</f>
        <v>3.8366336633663365</v>
      </c>
      <c r="K58" s="72">
        <f>E59</f>
        <v>20.977722772277225</v>
      </c>
      <c r="L58" s="73">
        <f>F59</f>
        <v>1.2376237623762376</v>
      </c>
    </row>
    <row r="59" spans="1:12" ht="13.5" customHeight="1" x14ac:dyDescent="0.2">
      <c r="A59" s="276"/>
      <c r="B59" s="35">
        <v>100</v>
      </c>
      <c r="C59" s="20">
        <f t="shared" ref="C59" si="64">C58/$B58*100</f>
        <v>73.948019801980209</v>
      </c>
      <c r="D59" s="207">
        <f t="shared" ref="D59" si="65">D58/$B58*100</f>
        <v>3.8366336633663365</v>
      </c>
      <c r="E59" s="207">
        <f t="shared" ref="E59" si="66">E58/$B58*100</f>
        <v>20.977722772277225</v>
      </c>
      <c r="F59" s="208">
        <f t="shared" ref="F59" si="67">F58/$B58*100</f>
        <v>1.2376237623762376</v>
      </c>
      <c r="H59" s="82" t="str">
        <f>A60</f>
        <v>ない(n = 801 )　　</v>
      </c>
      <c r="I59" s="84">
        <f>C61</f>
        <v>78.651685393258433</v>
      </c>
      <c r="J59" s="85">
        <f>D61</f>
        <v>3.2459425717852688</v>
      </c>
      <c r="K59" s="86">
        <f>E61</f>
        <v>16.978776529338326</v>
      </c>
      <c r="L59" s="87">
        <f>F61</f>
        <v>1.1235955056179776</v>
      </c>
    </row>
    <row r="60" spans="1:12" ht="13.5" customHeight="1" x14ac:dyDescent="0.2">
      <c r="A60" s="273" t="str">
        <f>"ない(n = "&amp;B60&amp;" )　　"</f>
        <v>ない(n = 801 )　　</v>
      </c>
      <c r="B60" s="34">
        <f>SUM(C60:F60)</f>
        <v>801</v>
      </c>
      <c r="C60" s="28">
        <v>630</v>
      </c>
      <c r="D60" s="29">
        <v>26</v>
      </c>
      <c r="E60" s="29">
        <v>136</v>
      </c>
      <c r="F60" s="30">
        <v>9</v>
      </c>
      <c r="G60" s="170">
        <v>1</v>
      </c>
      <c r="H60" s="83" t="str">
        <f>A62</f>
        <v>ある（通算５年未満）(n = 366 )　　</v>
      </c>
      <c r="I60" s="88">
        <f>C63</f>
        <v>72.950819672131146</v>
      </c>
      <c r="J60" s="89">
        <f>D63</f>
        <v>3.5519125683060109</v>
      </c>
      <c r="K60" s="90">
        <f>E63</f>
        <v>22.131147540983605</v>
      </c>
      <c r="L60" s="91">
        <f>F63</f>
        <v>1.3661202185792349</v>
      </c>
    </row>
    <row r="61" spans="1:12" ht="13.5" customHeight="1" x14ac:dyDescent="0.2">
      <c r="A61" s="274"/>
      <c r="B61" s="20">
        <f>B60/$B$13*100</f>
        <v>49.566831683168317</v>
      </c>
      <c r="C61" s="20">
        <f t="shared" ref="C61" si="68">C60/$B60*100</f>
        <v>78.651685393258433</v>
      </c>
      <c r="D61" s="207">
        <f t="shared" ref="D61" si="69">D60/$B60*100</f>
        <v>3.2459425717852688</v>
      </c>
      <c r="E61" s="207">
        <f t="shared" ref="E61" si="70">E60/$B60*100</f>
        <v>16.978776529338326</v>
      </c>
      <c r="F61" s="208">
        <f t="shared" ref="F61" si="71">F60/$B60*100</f>
        <v>1.1235955056179776</v>
      </c>
      <c r="H61" s="69" t="str">
        <f>A64</f>
        <v>ある（通算５年以上）(n = 445 )　　</v>
      </c>
      <c r="I61" s="78">
        <f>C65</f>
        <v>66.741573033707866</v>
      </c>
      <c r="J61" s="79">
        <f>D65</f>
        <v>4.9438202247191008</v>
      </c>
      <c r="K61" s="80">
        <f>E65</f>
        <v>26.966292134831459</v>
      </c>
      <c r="L61" s="81">
        <f>F65</f>
        <v>1.348314606741573</v>
      </c>
    </row>
    <row r="62" spans="1:12" ht="13.5" customHeight="1" x14ac:dyDescent="0.2">
      <c r="A62" s="299" t="str">
        <f>"ある（通算５年未満）(n = "&amp;B62&amp;" )　　"</f>
        <v>ある（通算５年未満）(n = 366 )　　</v>
      </c>
      <c r="B62" s="34">
        <f>SUM(C62:F62)</f>
        <v>366</v>
      </c>
      <c r="C62" s="28">
        <v>267</v>
      </c>
      <c r="D62" s="29">
        <v>13</v>
      </c>
      <c r="E62" s="29">
        <v>81</v>
      </c>
      <c r="F62" s="30">
        <v>5</v>
      </c>
      <c r="G62" s="170">
        <v>2</v>
      </c>
    </row>
    <row r="63" spans="1:12" x14ac:dyDescent="0.2">
      <c r="A63" s="300"/>
      <c r="B63" s="20">
        <f>B62/$B$13*100</f>
        <v>22.64851485148515</v>
      </c>
      <c r="C63" s="20">
        <f t="shared" ref="C63" si="72">C62/$B62*100</f>
        <v>72.950819672131146</v>
      </c>
      <c r="D63" s="207">
        <f t="shared" ref="D63" si="73">D62/$B62*100</f>
        <v>3.5519125683060109</v>
      </c>
      <c r="E63" s="207">
        <f t="shared" ref="E63" si="74">E62/$B62*100</f>
        <v>22.131147540983605</v>
      </c>
      <c r="F63" s="208">
        <f t="shared" ref="F63" si="75">F62/$B62*100</f>
        <v>1.3661202185792349</v>
      </c>
    </row>
    <row r="64" spans="1:12" ht="13.5" customHeight="1" x14ac:dyDescent="0.2">
      <c r="A64" s="299" t="str">
        <f>"ある（通算５年以上）(n = "&amp;B64&amp;" )　　"</f>
        <v>ある（通算５年以上）(n = 445 )　　</v>
      </c>
      <c r="B64" s="34">
        <f>SUM(C64:F64)</f>
        <v>445</v>
      </c>
      <c r="C64" s="28">
        <v>297</v>
      </c>
      <c r="D64" s="29">
        <v>22</v>
      </c>
      <c r="E64" s="29">
        <v>120</v>
      </c>
      <c r="F64" s="30">
        <v>6</v>
      </c>
      <c r="G64" s="170">
        <v>3</v>
      </c>
    </row>
    <row r="65" spans="1:12" x14ac:dyDescent="0.2">
      <c r="A65" s="300"/>
      <c r="B65" s="20">
        <f>B64/$B$13*100</f>
        <v>27.53712871287129</v>
      </c>
      <c r="C65" s="20">
        <f t="shared" ref="C65" si="76">C64/$B64*100</f>
        <v>66.741573033707866</v>
      </c>
      <c r="D65" s="207">
        <f t="shared" ref="D65" si="77">D64/$B64*100</f>
        <v>4.9438202247191008</v>
      </c>
      <c r="E65" s="207">
        <f t="shared" ref="E65" si="78">E64/$B64*100</f>
        <v>26.966292134831459</v>
      </c>
      <c r="F65" s="208">
        <f t="shared" ref="F65" si="79">F64/$B64*100</f>
        <v>1.348314606741573</v>
      </c>
    </row>
    <row r="67" spans="1:12" ht="13.5" customHeight="1" x14ac:dyDescent="0.2">
      <c r="A67" s="3" t="s">
        <v>148</v>
      </c>
      <c r="B67" s="1" t="str">
        <f>B45</f>
        <v>今後も岐阜県に住み続けたいか</v>
      </c>
      <c r="C67" s="8"/>
      <c r="D67" s="8"/>
      <c r="E67" s="8"/>
      <c r="F67" s="9"/>
    </row>
    <row r="68" spans="1:12" ht="21" customHeight="1" x14ac:dyDescent="0.2">
      <c r="A68" s="13" t="s">
        <v>99</v>
      </c>
      <c r="B68" s="59" t="str">
        <f>B46</f>
        <v>調査数</v>
      </c>
      <c r="C68" s="60" t="str">
        <f>C46</f>
        <v>はい</v>
      </c>
      <c r="D68" s="61" t="str">
        <f>D46</f>
        <v>いいえ</v>
      </c>
      <c r="E68" s="61" t="str">
        <f>E46</f>
        <v>わからない</v>
      </c>
      <c r="F68" s="63" t="str">
        <f>F46</f>
        <v>無回答</v>
      </c>
      <c r="G68" s="21" t="s">
        <v>32</v>
      </c>
      <c r="H68" s="12" t="str">
        <f>A68</f>
        <v>【居住環境別】</v>
      </c>
      <c r="I68" s="60" t="str">
        <f>C68</f>
        <v>はい</v>
      </c>
      <c r="J68" s="61" t="str">
        <f>D68</f>
        <v>いいえ</v>
      </c>
      <c r="K68" s="62" t="str">
        <f>E68</f>
        <v>わからない</v>
      </c>
      <c r="L68" s="63" t="str">
        <f>F68</f>
        <v>無回答</v>
      </c>
    </row>
    <row r="69" spans="1:12" ht="13.5" customHeight="1" x14ac:dyDescent="0.2">
      <c r="A69" s="275" t="str">
        <f>'問6S（表）'!A47</f>
        <v>全体(n = 1,616 )　　</v>
      </c>
      <c r="B69" s="34">
        <f>'問6S（表）'!B47</f>
        <v>1616</v>
      </c>
      <c r="C69" s="31">
        <f>$C$3</f>
        <v>1195</v>
      </c>
      <c r="D69" s="32">
        <f>$D$3</f>
        <v>62</v>
      </c>
      <c r="E69" s="32">
        <f>$E$3</f>
        <v>339</v>
      </c>
      <c r="F69" s="33">
        <f>$F$3</f>
        <v>20</v>
      </c>
      <c r="H69" s="67" t="str">
        <f>A69</f>
        <v>全体(n = 1,616 )　　</v>
      </c>
      <c r="I69" s="70">
        <f>C70</f>
        <v>73.948019801980209</v>
      </c>
      <c r="J69" s="71">
        <f>D70</f>
        <v>3.8366336633663365</v>
      </c>
      <c r="K69" s="72">
        <f>E70</f>
        <v>20.977722772277225</v>
      </c>
      <c r="L69" s="73">
        <f>F70</f>
        <v>1.2376237623762376</v>
      </c>
    </row>
    <row r="70" spans="1:12" ht="13.5" customHeight="1" x14ac:dyDescent="0.2">
      <c r="A70" s="276"/>
      <c r="B70" s="20">
        <f>B69/$B$13*100</f>
        <v>100</v>
      </c>
      <c r="C70" s="20">
        <f t="shared" ref="C70" si="80">C69/$B69*100</f>
        <v>73.948019801980209</v>
      </c>
      <c r="D70" s="207">
        <f t="shared" ref="D70" si="81">D69/$B69*100</f>
        <v>3.8366336633663365</v>
      </c>
      <c r="E70" s="207">
        <f t="shared" ref="E70" si="82">E69/$B69*100</f>
        <v>20.977722772277225</v>
      </c>
      <c r="F70" s="208">
        <f t="shared" ref="F70" si="83">F69/$B69*100</f>
        <v>1.2376237623762376</v>
      </c>
      <c r="H70" s="82" t="str">
        <f>A71</f>
        <v>農村地域(n = 356 )　　</v>
      </c>
      <c r="I70" s="84">
        <f>C72</f>
        <v>72.752808988764045</v>
      </c>
      <c r="J70" s="85">
        <f>D72</f>
        <v>4.7752808988764039</v>
      </c>
      <c r="K70" s="86">
        <f>E72</f>
        <v>20.786516853932586</v>
      </c>
      <c r="L70" s="87">
        <f>F72</f>
        <v>1.6853932584269662</v>
      </c>
    </row>
    <row r="71" spans="1:12" ht="13.5" customHeight="1" x14ac:dyDescent="0.2">
      <c r="A71" s="275" t="str">
        <f>'問6S（表）'!A49</f>
        <v>農村地域(n = 356 )　　</v>
      </c>
      <c r="B71" s="34">
        <f>'問6S（表）'!B49</f>
        <v>356</v>
      </c>
      <c r="C71" s="28">
        <v>259</v>
      </c>
      <c r="D71" s="29">
        <v>17</v>
      </c>
      <c r="E71" s="29">
        <v>74</v>
      </c>
      <c r="F71" s="30">
        <v>6</v>
      </c>
      <c r="G71" s="170">
        <v>1</v>
      </c>
      <c r="H71" s="83" t="str">
        <f>A73</f>
        <v>山間地域(n = 246 )　　</v>
      </c>
      <c r="I71" s="88">
        <f>C74</f>
        <v>71.138211382113823</v>
      </c>
      <c r="J71" s="89">
        <f>D74</f>
        <v>4.8780487804878048</v>
      </c>
      <c r="K71" s="90">
        <f>E74</f>
        <v>23.170731707317074</v>
      </c>
      <c r="L71" s="91">
        <f>F74</f>
        <v>0.81300813008130091</v>
      </c>
    </row>
    <row r="72" spans="1:12" ht="13.5" customHeight="1" x14ac:dyDescent="0.2">
      <c r="A72" s="276"/>
      <c r="B72" s="20">
        <f>B71/$B$13*100</f>
        <v>22.029702970297031</v>
      </c>
      <c r="C72" s="20">
        <f t="shared" ref="C72" si="84">C71/$B71*100</f>
        <v>72.752808988764045</v>
      </c>
      <c r="D72" s="207">
        <f t="shared" ref="D72" si="85">D71/$B71*100</f>
        <v>4.7752808988764039</v>
      </c>
      <c r="E72" s="207">
        <f t="shared" ref="E72" si="86">E71/$B71*100</f>
        <v>20.786516853932586</v>
      </c>
      <c r="F72" s="208">
        <f t="shared" ref="F72" si="87">F71/$B71*100</f>
        <v>1.6853932584269662</v>
      </c>
      <c r="H72" s="83" t="str">
        <f>A75</f>
        <v>商業地域(n = 35 )　　</v>
      </c>
      <c r="I72" s="88">
        <f>C76</f>
        <v>80</v>
      </c>
      <c r="J72" s="89">
        <f>D76</f>
        <v>5.7142857142857144</v>
      </c>
      <c r="K72" s="90">
        <f>E76</f>
        <v>11.428571428571429</v>
      </c>
      <c r="L72" s="91">
        <f>F76</f>
        <v>2.8571428571428572</v>
      </c>
    </row>
    <row r="73" spans="1:12" ht="13.5" customHeight="1" x14ac:dyDescent="0.2">
      <c r="A73" s="275" t="str">
        <f>'問6S（表）'!A51</f>
        <v>山間地域(n = 246 )　　</v>
      </c>
      <c r="B73" s="34">
        <f>'問6S（表）'!B51</f>
        <v>246</v>
      </c>
      <c r="C73" s="28">
        <v>175</v>
      </c>
      <c r="D73" s="29">
        <v>12</v>
      </c>
      <c r="E73" s="29">
        <v>57</v>
      </c>
      <c r="F73" s="30">
        <v>2</v>
      </c>
      <c r="G73" s="170">
        <v>2</v>
      </c>
      <c r="H73" s="83" t="str">
        <f>A77</f>
        <v>住宅地域(n = 935 )　　</v>
      </c>
      <c r="I73" s="88">
        <f>C78</f>
        <v>75.294117647058826</v>
      </c>
      <c r="J73" s="89">
        <f>D78</f>
        <v>2.9946524064171123</v>
      </c>
      <c r="K73" s="90">
        <f>E78</f>
        <v>20.641711229946523</v>
      </c>
      <c r="L73" s="91">
        <f>F78</f>
        <v>1.0695187165775399</v>
      </c>
    </row>
    <row r="74" spans="1:12" ht="13.5" customHeight="1" x14ac:dyDescent="0.2">
      <c r="A74" s="276"/>
      <c r="B74" s="20">
        <f>B73/$B$13*100</f>
        <v>15.222772277227723</v>
      </c>
      <c r="C74" s="20">
        <f t="shared" ref="C74" si="88">C73/$B73*100</f>
        <v>71.138211382113823</v>
      </c>
      <c r="D74" s="207">
        <f t="shared" ref="D74" si="89">D73/$B73*100</f>
        <v>4.8780487804878048</v>
      </c>
      <c r="E74" s="207">
        <f t="shared" ref="E74" si="90">E73/$B73*100</f>
        <v>23.170731707317074</v>
      </c>
      <c r="F74" s="208">
        <f t="shared" ref="F74" si="91">F73/$B73*100</f>
        <v>0.81300813008130091</v>
      </c>
      <c r="H74" s="69" t="str">
        <f>A79</f>
        <v>その他(n = 28 )　　</v>
      </c>
      <c r="I74" s="78">
        <f>C80</f>
        <v>78.571428571428569</v>
      </c>
      <c r="J74" s="79">
        <f>D80</f>
        <v>3.5714285714285712</v>
      </c>
      <c r="K74" s="80">
        <f>E80</f>
        <v>14.285714285714285</v>
      </c>
      <c r="L74" s="81">
        <f>F80</f>
        <v>3.5714285714285712</v>
      </c>
    </row>
    <row r="75" spans="1:12" ht="13.5" customHeight="1" x14ac:dyDescent="0.2">
      <c r="A75" s="275" t="str">
        <f>'問6S（表）'!A53</f>
        <v>商業地域(n = 35 )　　</v>
      </c>
      <c r="B75" s="34">
        <f>'問6S（表）'!B53</f>
        <v>35</v>
      </c>
      <c r="C75" s="28">
        <v>28</v>
      </c>
      <c r="D75" s="29">
        <v>2</v>
      </c>
      <c r="E75" s="29">
        <v>4</v>
      </c>
      <c r="F75" s="30">
        <v>1</v>
      </c>
      <c r="G75" s="170">
        <v>3</v>
      </c>
    </row>
    <row r="76" spans="1:12" ht="13.5" customHeight="1" x14ac:dyDescent="0.2">
      <c r="A76" s="276"/>
      <c r="B76" s="20">
        <f>B75/$B$13*100</f>
        <v>2.1658415841584158</v>
      </c>
      <c r="C76" s="20">
        <f t="shared" ref="C76" si="92">C75/$B75*100</f>
        <v>80</v>
      </c>
      <c r="D76" s="207">
        <f t="shared" ref="D76" si="93">D75/$B75*100</f>
        <v>5.7142857142857144</v>
      </c>
      <c r="E76" s="207">
        <f t="shared" ref="E76" si="94">E75/$B75*100</f>
        <v>11.428571428571429</v>
      </c>
      <c r="F76" s="208">
        <f t="shared" ref="F76" si="95">F75/$B75*100</f>
        <v>2.8571428571428572</v>
      </c>
    </row>
    <row r="77" spans="1:12" ht="13.5" customHeight="1" x14ac:dyDescent="0.2">
      <c r="A77" s="275" t="str">
        <f>'問6S（表）'!A55</f>
        <v>住宅地域(n = 935 )　　</v>
      </c>
      <c r="B77" s="34">
        <f>'問6S（表）'!B55</f>
        <v>935</v>
      </c>
      <c r="C77" s="28">
        <v>704</v>
      </c>
      <c r="D77" s="29">
        <v>28</v>
      </c>
      <c r="E77" s="29">
        <v>193</v>
      </c>
      <c r="F77" s="30">
        <v>10</v>
      </c>
      <c r="G77" s="170">
        <v>4</v>
      </c>
    </row>
    <row r="78" spans="1:12" ht="13.5" customHeight="1" x14ac:dyDescent="0.2">
      <c r="A78" s="276"/>
      <c r="B78" s="20">
        <f>B77/$B$13*100</f>
        <v>57.85891089108911</v>
      </c>
      <c r="C78" s="20">
        <f t="shared" ref="C78" si="96">C77/$B77*100</f>
        <v>75.294117647058826</v>
      </c>
      <c r="D78" s="207">
        <f t="shared" ref="D78" si="97">D77/$B77*100</f>
        <v>2.9946524064171123</v>
      </c>
      <c r="E78" s="207">
        <f t="shared" ref="E78" si="98">E77/$B77*100</f>
        <v>20.641711229946523</v>
      </c>
      <c r="F78" s="208">
        <f t="shared" ref="F78" si="99">F77/$B77*100</f>
        <v>1.0695187165775399</v>
      </c>
    </row>
    <row r="79" spans="1:12" x14ac:dyDescent="0.2">
      <c r="A79" s="275" t="str">
        <f>'問6S（表）'!A57</f>
        <v>その他(n = 28 )　　</v>
      </c>
      <c r="B79" s="34">
        <f>'問6S（表）'!B57</f>
        <v>28</v>
      </c>
      <c r="C79" s="28">
        <v>22</v>
      </c>
      <c r="D79" s="29">
        <v>1</v>
      </c>
      <c r="E79" s="29">
        <v>4</v>
      </c>
      <c r="F79" s="30">
        <v>1</v>
      </c>
      <c r="G79" s="170">
        <v>5</v>
      </c>
    </row>
    <row r="80" spans="1:12" x14ac:dyDescent="0.2">
      <c r="A80" s="276"/>
      <c r="B80" s="20">
        <f>B79/$B$13*100</f>
        <v>1.7326732673267329</v>
      </c>
      <c r="C80" s="20">
        <f t="shared" ref="C80" si="100">C79/$B79*100</f>
        <v>78.571428571428569</v>
      </c>
      <c r="D80" s="207">
        <f t="shared" ref="D80" si="101">D79/$B79*100</f>
        <v>3.5714285714285712</v>
      </c>
      <c r="E80" s="207">
        <f t="shared" ref="E80" si="102">E79/$B79*100</f>
        <v>14.285714285714285</v>
      </c>
      <c r="F80" s="208">
        <f t="shared" ref="F80" si="103">F79/$B79*100</f>
        <v>3.5714285714285712</v>
      </c>
    </row>
  </sheetData>
  <mergeCells count="31">
    <mergeCell ref="A34:A35"/>
    <mergeCell ref="A3:A4"/>
    <mergeCell ref="A5:A6"/>
    <mergeCell ref="A7:A8"/>
    <mergeCell ref="A13:A14"/>
    <mergeCell ref="A17:A18"/>
    <mergeCell ref="A19:A20"/>
    <mergeCell ref="A21:A22"/>
    <mergeCell ref="A23:A24"/>
    <mergeCell ref="A25:A26"/>
    <mergeCell ref="A27:A28"/>
    <mergeCell ref="A32:A33"/>
    <mergeCell ref="A15:A16"/>
    <mergeCell ref="A36:A37"/>
    <mergeCell ref="A38:A39"/>
    <mergeCell ref="A40:A41"/>
    <mergeCell ref="A42:A43"/>
    <mergeCell ref="A58:A59"/>
    <mergeCell ref="A79:A80"/>
    <mergeCell ref="A62:A63"/>
    <mergeCell ref="A64:A65"/>
    <mergeCell ref="A47:A48"/>
    <mergeCell ref="A49:A50"/>
    <mergeCell ref="A51:A52"/>
    <mergeCell ref="A53:A54"/>
    <mergeCell ref="A60:A61"/>
    <mergeCell ref="A69:A70"/>
    <mergeCell ref="A71:A72"/>
    <mergeCell ref="A73:A74"/>
    <mergeCell ref="A75:A76"/>
    <mergeCell ref="A77:A78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C90"/>
  <sheetViews>
    <sheetView topLeftCell="A82" zoomScaleNormal="100" workbookViewId="0"/>
  </sheetViews>
  <sheetFormatPr defaultRowHeight="13.2" x14ac:dyDescent="0.2"/>
  <sheetData>
    <row r="1" spans="1:29" x14ac:dyDescent="0.2">
      <c r="A1" s="3" t="s">
        <v>308</v>
      </c>
      <c r="B1" s="1" t="s">
        <v>307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</row>
    <row r="2" spans="1:29" ht="183.6" x14ac:dyDescent="0.2">
      <c r="A2" s="12" t="s">
        <v>20</v>
      </c>
      <c r="B2" s="59" t="s">
        <v>3</v>
      </c>
      <c r="C2" s="60" t="s">
        <v>290</v>
      </c>
      <c r="D2" s="61" t="s">
        <v>306</v>
      </c>
      <c r="E2" s="61" t="s">
        <v>305</v>
      </c>
      <c r="F2" s="61" t="s">
        <v>304</v>
      </c>
      <c r="G2" s="61" t="s">
        <v>303</v>
      </c>
      <c r="H2" s="61" t="s">
        <v>302</v>
      </c>
      <c r="I2" s="61" t="s">
        <v>301</v>
      </c>
      <c r="J2" s="61" t="s">
        <v>300</v>
      </c>
      <c r="K2" s="61" t="s">
        <v>299</v>
      </c>
      <c r="L2" s="61" t="s">
        <v>187</v>
      </c>
      <c r="M2" s="61" t="s">
        <v>298</v>
      </c>
      <c r="N2" s="61" t="s">
        <v>101</v>
      </c>
      <c r="O2" s="63"/>
      <c r="P2" s="225" t="s">
        <v>118</v>
      </c>
    </row>
    <row r="3" spans="1:29" ht="13.5" customHeight="1" x14ac:dyDescent="0.2">
      <c r="A3" s="273" t="str">
        <f>"全体(n = "&amp;B3&amp;" )　　"</f>
        <v>全体(n = 1,616 )　　</v>
      </c>
      <c r="B3" s="223" t="s">
        <v>250</v>
      </c>
      <c r="C3" s="31">
        <f t="shared" ref="C3:N3" si="0">SUM(C5,C7)</f>
        <v>762</v>
      </c>
      <c r="D3" s="32">
        <f t="shared" si="0"/>
        <v>734</v>
      </c>
      <c r="E3" s="32">
        <f t="shared" si="0"/>
        <v>792</v>
      </c>
      <c r="F3" s="32">
        <f t="shared" si="0"/>
        <v>181</v>
      </c>
      <c r="G3" s="32">
        <f t="shared" si="0"/>
        <v>69</v>
      </c>
      <c r="H3" s="32">
        <f t="shared" si="0"/>
        <v>117</v>
      </c>
      <c r="I3" s="32">
        <f t="shared" si="0"/>
        <v>34</v>
      </c>
      <c r="J3" s="32">
        <f t="shared" si="0"/>
        <v>496</v>
      </c>
      <c r="K3" s="32">
        <f t="shared" si="0"/>
        <v>122</v>
      </c>
      <c r="L3" s="32">
        <f t="shared" si="0"/>
        <v>137</v>
      </c>
      <c r="M3" s="32">
        <f t="shared" si="0"/>
        <v>172</v>
      </c>
      <c r="N3" s="32">
        <f t="shared" si="0"/>
        <v>45</v>
      </c>
      <c r="O3" s="33"/>
      <c r="P3" s="5">
        <f>SUM($C3:O3)</f>
        <v>3661</v>
      </c>
    </row>
    <row r="4" spans="1:29" x14ac:dyDescent="0.2">
      <c r="A4" s="274"/>
      <c r="B4" s="35">
        <v>100</v>
      </c>
      <c r="C4" s="20">
        <f t="shared" ref="C4:N4" si="1">C3/$B$3*100</f>
        <v>47.153465346534652</v>
      </c>
      <c r="D4" s="207">
        <f t="shared" si="1"/>
        <v>45.420792079207921</v>
      </c>
      <c r="E4" s="207">
        <f t="shared" si="1"/>
        <v>49.009900990099013</v>
      </c>
      <c r="F4" s="207">
        <f t="shared" si="1"/>
        <v>11.200495049504951</v>
      </c>
      <c r="G4" s="207">
        <f t="shared" si="1"/>
        <v>4.2698019801980198</v>
      </c>
      <c r="H4" s="207">
        <f t="shared" si="1"/>
        <v>7.2400990099009892</v>
      </c>
      <c r="I4" s="207">
        <f t="shared" si="1"/>
        <v>2.1039603960396041</v>
      </c>
      <c r="J4" s="207">
        <f t="shared" si="1"/>
        <v>30.693069306930692</v>
      </c>
      <c r="K4" s="207">
        <f t="shared" si="1"/>
        <v>7.5495049504950495</v>
      </c>
      <c r="L4" s="207">
        <f t="shared" si="1"/>
        <v>8.4777227722772288</v>
      </c>
      <c r="M4" s="207">
        <f t="shared" si="1"/>
        <v>10.643564356435643</v>
      </c>
      <c r="N4" s="207">
        <f t="shared" si="1"/>
        <v>2.7846534653465347</v>
      </c>
      <c r="O4" s="208"/>
      <c r="P4" s="195"/>
    </row>
    <row r="5" spans="1:29" ht="13.5" customHeight="1" x14ac:dyDescent="0.2">
      <c r="A5" s="273" t="str">
        <f>"男性(n = "&amp;B5&amp;" )　　"</f>
        <v>男性(n = 705 )　　</v>
      </c>
      <c r="B5" s="34">
        <v>705</v>
      </c>
      <c r="C5" s="28">
        <v>297</v>
      </c>
      <c r="D5" s="29">
        <v>317</v>
      </c>
      <c r="E5" s="29">
        <v>351</v>
      </c>
      <c r="F5" s="29">
        <v>75</v>
      </c>
      <c r="G5" s="29">
        <v>34</v>
      </c>
      <c r="H5" s="29">
        <v>51</v>
      </c>
      <c r="I5" s="29">
        <v>20</v>
      </c>
      <c r="J5" s="29">
        <v>240</v>
      </c>
      <c r="K5" s="29">
        <v>60</v>
      </c>
      <c r="L5" s="29">
        <v>52</v>
      </c>
      <c r="M5" s="29">
        <v>54</v>
      </c>
      <c r="N5" s="29">
        <v>18</v>
      </c>
      <c r="O5" s="30"/>
      <c r="P5" s="5">
        <f>SUM($C5:N5)</f>
        <v>1569</v>
      </c>
      <c r="Q5" t="str">
        <f>" 男性（N = "&amp;P6&amp;" : n = "&amp;B5&amp;"）"</f>
        <v xml:space="preserve"> 男性（N = 1,569 : n = 705）</v>
      </c>
    </row>
    <row r="6" spans="1:29" x14ac:dyDescent="0.2">
      <c r="A6" s="274"/>
      <c r="B6" s="35">
        <f>B5/$B$3*100</f>
        <v>43.626237623762378</v>
      </c>
      <c r="C6" s="20">
        <f t="shared" ref="C6:N6" si="2">C5/$B$5*100</f>
        <v>42.127659574468083</v>
      </c>
      <c r="D6" s="207">
        <f t="shared" si="2"/>
        <v>44.964539007092199</v>
      </c>
      <c r="E6" s="207">
        <f t="shared" si="2"/>
        <v>49.787234042553195</v>
      </c>
      <c r="F6" s="207">
        <f t="shared" si="2"/>
        <v>10.638297872340425</v>
      </c>
      <c r="G6" s="207">
        <f t="shared" si="2"/>
        <v>4.8226950354609928</v>
      </c>
      <c r="H6" s="207">
        <f t="shared" si="2"/>
        <v>7.2340425531914887</v>
      </c>
      <c r="I6" s="207">
        <f t="shared" si="2"/>
        <v>2.8368794326241136</v>
      </c>
      <c r="J6" s="207">
        <f t="shared" si="2"/>
        <v>34.042553191489361</v>
      </c>
      <c r="K6" s="207">
        <f t="shared" si="2"/>
        <v>8.5106382978723403</v>
      </c>
      <c r="L6" s="207">
        <f t="shared" si="2"/>
        <v>7.375886524822695</v>
      </c>
      <c r="M6" s="207">
        <f t="shared" si="2"/>
        <v>7.6595744680851059</v>
      </c>
      <c r="N6" s="207">
        <f t="shared" si="2"/>
        <v>2.5531914893617018</v>
      </c>
      <c r="O6" s="208"/>
      <c r="P6" s="204" t="s">
        <v>297</v>
      </c>
    </row>
    <row r="7" spans="1:29" ht="13.5" customHeight="1" x14ac:dyDescent="0.2">
      <c r="A7" s="273" t="str">
        <f>"女性(n = "&amp;B7&amp;" )　　"</f>
        <v>女性(n = 901 )　　</v>
      </c>
      <c r="B7" s="34">
        <v>901</v>
      </c>
      <c r="C7" s="28">
        <v>465</v>
      </c>
      <c r="D7" s="29">
        <v>417</v>
      </c>
      <c r="E7" s="29">
        <v>441</v>
      </c>
      <c r="F7" s="29">
        <v>106</v>
      </c>
      <c r="G7" s="29">
        <v>35</v>
      </c>
      <c r="H7" s="29">
        <v>66</v>
      </c>
      <c r="I7" s="29">
        <v>14</v>
      </c>
      <c r="J7" s="29">
        <v>256</v>
      </c>
      <c r="K7" s="29">
        <v>62</v>
      </c>
      <c r="L7" s="29">
        <v>85</v>
      </c>
      <c r="M7" s="29">
        <v>118</v>
      </c>
      <c r="N7" s="29">
        <v>27</v>
      </c>
      <c r="O7" s="30"/>
      <c r="P7" s="5">
        <f>SUM($C7:N7)</f>
        <v>2092</v>
      </c>
      <c r="Q7" t="str">
        <f>" 女性（N = "&amp;P8&amp;" : n = "&amp;B7&amp;"）"</f>
        <v xml:space="preserve"> 女性（N = 2,092 : n = 901）</v>
      </c>
    </row>
    <row r="8" spans="1:29" x14ac:dyDescent="0.2">
      <c r="A8" s="274"/>
      <c r="B8" s="35">
        <f>B7/$B$3*100</f>
        <v>55.754950495049506</v>
      </c>
      <c r="C8" s="20">
        <f t="shared" ref="C8:N8" si="3">C7/$B$7*100</f>
        <v>51.609322974472803</v>
      </c>
      <c r="D8" s="207">
        <f t="shared" si="3"/>
        <v>46.281908990011104</v>
      </c>
      <c r="E8" s="207">
        <f t="shared" si="3"/>
        <v>48.945615982241954</v>
      </c>
      <c r="F8" s="207">
        <f t="shared" si="3"/>
        <v>11.76470588235294</v>
      </c>
      <c r="G8" s="207">
        <f t="shared" si="3"/>
        <v>3.8845726970033292</v>
      </c>
      <c r="H8" s="207">
        <f t="shared" si="3"/>
        <v>7.3251942286348504</v>
      </c>
      <c r="I8" s="207">
        <f t="shared" si="3"/>
        <v>1.553829078801332</v>
      </c>
      <c r="J8" s="207">
        <f t="shared" si="3"/>
        <v>28.412874583795784</v>
      </c>
      <c r="K8" s="207">
        <f t="shared" si="3"/>
        <v>6.8812430632630415</v>
      </c>
      <c r="L8" s="207">
        <f t="shared" si="3"/>
        <v>9.433962264150944</v>
      </c>
      <c r="M8" s="207">
        <f t="shared" si="3"/>
        <v>13.09655937846837</v>
      </c>
      <c r="N8" s="207">
        <f t="shared" si="3"/>
        <v>2.9966703662597114</v>
      </c>
      <c r="O8" s="208"/>
      <c r="P8" s="204" t="s">
        <v>296</v>
      </c>
    </row>
    <row r="9" spans="1:29" s="186" customFormat="1" x14ac:dyDescent="0.2">
      <c r="A9" s="184"/>
      <c r="B9" s="182"/>
      <c r="C9" s="182">
        <v>3</v>
      </c>
      <c r="D9" s="182">
        <v>2</v>
      </c>
      <c r="E9" s="182">
        <v>1</v>
      </c>
      <c r="F9" s="182">
        <v>5</v>
      </c>
      <c r="G9" s="182">
        <v>10</v>
      </c>
      <c r="H9" s="182">
        <v>9</v>
      </c>
      <c r="I9" s="182">
        <v>11</v>
      </c>
      <c r="J9" s="182">
        <v>4</v>
      </c>
      <c r="K9" s="182">
        <v>8</v>
      </c>
      <c r="L9" s="182">
        <v>7</v>
      </c>
      <c r="M9" s="182">
        <v>6</v>
      </c>
      <c r="N9" s="182"/>
      <c r="O9" s="182"/>
      <c r="P9" s="226"/>
    </row>
    <row r="10" spans="1:29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9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Q11" s="45"/>
      <c r="R11" s="27">
        <v>1</v>
      </c>
      <c r="S11" s="27">
        <v>2</v>
      </c>
      <c r="T11" s="27">
        <v>3</v>
      </c>
      <c r="U11" s="27">
        <v>4</v>
      </c>
      <c r="V11" s="27">
        <v>5</v>
      </c>
      <c r="W11" s="27">
        <v>6</v>
      </c>
      <c r="X11" s="27">
        <v>7</v>
      </c>
      <c r="Y11" s="27">
        <v>8</v>
      </c>
      <c r="Z11" s="27">
        <v>9</v>
      </c>
      <c r="AA11" s="27">
        <v>10</v>
      </c>
      <c r="AB11" s="27">
        <v>11</v>
      </c>
      <c r="AC11" s="27">
        <v>12</v>
      </c>
    </row>
    <row r="12" spans="1:29" ht="183.6" x14ac:dyDescent="0.2">
      <c r="A12" s="12" t="str">
        <f>A2</f>
        <v>【性別】</v>
      </c>
      <c r="B12" s="59" t="str">
        <f>B2</f>
        <v>調査数</v>
      </c>
      <c r="C12" s="61" t="s">
        <v>291</v>
      </c>
      <c r="D12" s="61" t="s">
        <v>290</v>
      </c>
      <c r="E12" s="61" t="s">
        <v>289</v>
      </c>
      <c r="F12" s="61" t="s">
        <v>288</v>
      </c>
      <c r="G12" s="61" t="s">
        <v>287</v>
      </c>
      <c r="H12" s="61" t="s">
        <v>286</v>
      </c>
      <c r="I12" s="61" t="s">
        <v>201</v>
      </c>
      <c r="J12" s="61" t="s">
        <v>285</v>
      </c>
      <c r="K12" s="61" t="s">
        <v>284</v>
      </c>
      <c r="L12" s="61" t="s">
        <v>283</v>
      </c>
      <c r="M12" s="61" t="s">
        <v>282</v>
      </c>
      <c r="N12" s="61" t="s">
        <v>101</v>
      </c>
      <c r="O12" s="63"/>
      <c r="P12" s="44" t="s">
        <v>32</v>
      </c>
      <c r="Q12" s="12" t="str">
        <f>A12</f>
        <v>【性別】</v>
      </c>
      <c r="R12" s="60" t="str">
        <f t="shared" ref="R12:AC12" si="4">C12</f>
        <v>テレビ（ニュース）</v>
      </c>
      <c r="S12" s="60" t="str">
        <f t="shared" si="4"/>
        <v>　　　　　　岐阜県広報「岐阜県からのお知らせ」
（市町村広報紙、地域情報誌（フリーペーパー）
　　　　　　　　　又は行政情報アプリなどに掲載）</v>
      </c>
      <c r="T12" s="60" t="str">
        <f t="shared" si="4"/>
        <v>新聞の記事</v>
      </c>
      <c r="U12" s="60" t="str">
        <f t="shared" si="4"/>
        <v>インターネット（ニュース）</v>
      </c>
      <c r="V12" s="60" t="str">
        <f t="shared" si="4"/>
        <v>テレビ（県の広報番組）</v>
      </c>
      <c r="W12" s="60" t="str">
        <f t="shared" si="4"/>
        <v>パンフレット、ポスター</v>
      </c>
      <c r="X12" s="60" t="str">
        <f t="shared" si="4"/>
        <v>　　　フェイスブック、ツイッターなどのSNS
（ソーシャル・ネットワーキング・サービス）</v>
      </c>
      <c r="Y12" s="60" t="str">
        <f t="shared" si="4"/>
        <v>インターネット（岐阜県庁ホームページ）</v>
      </c>
      <c r="Z12" s="60" t="str">
        <f t="shared" si="4"/>
        <v>ラジオ（ニュース）</v>
      </c>
      <c r="AA12" s="60" t="str">
        <f t="shared" si="4"/>
        <v>テレビ（データ放送）</v>
      </c>
      <c r="AB12" s="60" t="str">
        <f t="shared" si="4"/>
        <v>ラジオ（県の広報番組）</v>
      </c>
      <c r="AC12" s="60" t="str">
        <f t="shared" si="4"/>
        <v>その他</v>
      </c>
    </row>
    <row r="13" spans="1:29" ht="12.75" customHeight="1" x14ac:dyDescent="0.2">
      <c r="A13" s="269" t="str">
        <f>A3</f>
        <v>全体(n = 1,616 )　　</v>
      </c>
      <c r="B13" s="224" t="str">
        <f>B3</f>
        <v>1,616</v>
      </c>
      <c r="C13" s="121">
        <v>792</v>
      </c>
      <c r="D13" s="122">
        <v>762</v>
      </c>
      <c r="E13" s="122">
        <v>734</v>
      </c>
      <c r="F13" s="122">
        <v>496</v>
      </c>
      <c r="G13" s="122">
        <v>181</v>
      </c>
      <c r="H13" s="122">
        <v>172</v>
      </c>
      <c r="I13" s="122">
        <v>137</v>
      </c>
      <c r="J13" s="122">
        <v>122</v>
      </c>
      <c r="K13" s="122">
        <v>117</v>
      </c>
      <c r="L13" s="122">
        <v>69</v>
      </c>
      <c r="M13" s="122">
        <v>34</v>
      </c>
      <c r="N13" s="123">
        <v>45</v>
      </c>
      <c r="O13" s="124"/>
      <c r="P13" s="166">
        <f>SUM(C13:O13)</f>
        <v>3661</v>
      </c>
      <c r="Q13" s="93" t="str">
        <f>A15</f>
        <v>男性(n = 705 )　　</v>
      </c>
      <c r="R13" s="74">
        <f t="shared" ref="R13:AC13" si="5">C16</f>
        <v>49.787234042553195</v>
      </c>
      <c r="S13" s="74">
        <f t="shared" si="5"/>
        <v>42.127659574468083</v>
      </c>
      <c r="T13" s="74">
        <f t="shared" si="5"/>
        <v>44.964539007092199</v>
      </c>
      <c r="U13" s="74">
        <f t="shared" si="5"/>
        <v>34.042553191489361</v>
      </c>
      <c r="V13" s="74">
        <f t="shared" si="5"/>
        <v>10.638297872340425</v>
      </c>
      <c r="W13" s="74">
        <f t="shared" si="5"/>
        <v>7.6595744680851059</v>
      </c>
      <c r="X13" s="74">
        <f t="shared" si="5"/>
        <v>7.375886524822695</v>
      </c>
      <c r="Y13" s="74">
        <f t="shared" si="5"/>
        <v>8.5106382978723403</v>
      </c>
      <c r="Z13" s="74">
        <f t="shared" si="5"/>
        <v>7.2340425531914887</v>
      </c>
      <c r="AA13" s="74">
        <f t="shared" si="5"/>
        <v>4.8226950354609928</v>
      </c>
      <c r="AB13" s="74">
        <f t="shared" si="5"/>
        <v>2.8368794326241136</v>
      </c>
      <c r="AC13" s="74">
        <f t="shared" si="5"/>
        <v>2.5531914893617018</v>
      </c>
    </row>
    <row r="14" spans="1:29" ht="12.75" customHeight="1" x14ac:dyDescent="0.2">
      <c r="A14" s="270"/>
      <c r="B14" s="114">
        <f>B4</f>
        <v>100</v>
      </c>
      <c r="C14" s="125">
        <v>49.009900990099013</v>
      </c>
      <c r="D14" s="126">
        <v>47.153465346534652</v>
      </c>
      <c r="E14" s="126">
        <v>45.420792079207921</v>
      </c>
      <c r="F14" s="126">
        <v>30.693069306930692</v>
      </c>
      <c r="G14" s="126">
        <v>11.200495049504951</v>
      </c>
      <c r="H14" s="126">
        <v>10.643564356435643</v>
      </c>
      <c r="I14" s="126">
        <v>8.4777227722772288</v>
      </c>
      <c r="J14" s="126">
        <v>7.5495049504950495</v>
      </c>
      <c r="K14" s="126">
        <v>7.2400990099009892</v>
      </c>
      <c r="L14" s="126">
        <v>4.2698019801980198</v>
      </c>
      <c r="M14" s="126">
        <v>2.1039603960396041</v>
      </c>
      <c r="N14" s="127">
        <v>2.7846534653465347</v>
      </c>
      <c r="O14" s="128"/>
      <c r="Q14" s="94" t="str">
        <f>A17</f>
        <v>女性(n = 901 )　　</v>
      </c>
      <c r="R14" s="78">
        <f t="shared" ref="R14:AC14" si="6">C18</f>
        <v>48.945615982241954</v>
      </c>
      <c r="S14" s="78">
        <f t="shared" si="6"/>
        <v>51.609322974472803</v>
      </c>
      <c r="T14" s="78">
        <f t="shared" si="6"/>
        <v>46.281908990011104</v>
      </c>
      <c r="U14" s="78">
        <f t="shared" si="6"/>
        <v>28.412874583795784</v>
      </c>
      <c r="V14" s="78">
        <f t="shared" si="6"/>
        <v>11.76470588235294</v>
      </c>
      <c r="W14" s="78">
        <f t="shared" si="6"/>
        <v>13.09655937846837</v>
      </c>
      <c r="X14" s="78">
        <f t="shared" si="6"/>
        <v>9.433962264150944</v>
      </c>
      <c r="Y14" s="78">
        <f t="shared" si="6"/>
        <v>6.8812430632630415</v>
      </c>
      <c r="Z14" s="78">
        <f t="shared" si="6"/>
        <v>7.3251942286348504</v>
      </c>
      <c r="AA14" s="78">
        <f t="shared" si="6"/>
        <v>3.8845726970033292</v>
      </c>
      <c r="AB14" s="78">
        <f t="shared" si="6"/>
        <v>1.553829078801332</v>
      </c>
      <c r="AC14" s="78">
        <f t="shared" si="6"/>
        <v>2.9966703662597114</v>
      </c>
    </row>
    <row r="15" spans="1:29" ht="13.5" customHeight="1" x14ac:dyDescent="0.2">
      <c r="A15" s="269" t="str">
        <f>A5</f>
        <v>男性(n = 705 )　　</v>
      </c>
      <c r="B15" s="113">
        <f>B5</f>
        <v>705</v>
      </c>
      <c r="C15" s="129">
        <v>351</v>
      </c>
      <c r="D15" s="130">
        <v>297</v>
      </c>
      <c r="E15" s="130">
        <v>317</v>
      </c>
      <c r="F15" s="130">
        <v>240</v>
      </c>
      <c r="G15" s="130">
        <v>75</v>
      </c>
      <c r="H15" s="130">
        <v>54</v>
      </c>
      <c r="I15" s="130">
        <v>52</v>
      </c>
      <c r="J15" s="130">
        <v>60</v>
      </c>
      <c r="K15" s="130">
        <v>51</v>
      </c>
      <c r="L15" s="130">
        <v>34</v>
      </c>
      <c r="M15" s="130">
        <v>20</v>
      </c>
      <c r="N15" s="140">
        <v>18</v>
      </c>
      <c r="O15" s="131"/>
    </row>
    <row r="16" spans="1:29" x14ac:dyDescent="0.2">
      <c r="A16" s="270"/>
      <c r="B16" s="114">
        <f>B6</f>
        <v>43.626237623762378</v>
      </c>
      <c r="C16" s="125">
        <v>49.787234042553195</v>
      </c>
      <c r="D16" s="126">
        <v>42.127659574468083</v>
      </c>
      <c r="E16" s="126">
        <v>44.964539007092199</v>
      </c>
      <c r="F16" s="126">
        <v>34.042553191489361</v>
      </c>
      <c r="G16" s="126">
        <v>10.638297872340425</v>
      </c>
      <c r="H16" s="126">
        <v>7.6595744680851059</v>
      </c>
      <c r="I16" s="126">
        <v>7.375886524822695</v>
      </c>
      <c r="J16" s="126">
        <v>8.5106382978723403</v>
      </c>
      <c r="K16" s="126">
        <v>7.2340425531914887</v>
      </c>
      <c r="L16" s="126">
        <v>4.8226950354609928</v>
      </c>
      <c r="M16" s="126">
        <v>2.8368794326241136</v>
      </c>
      <c r="N16" s="127">
        <v>2.5531914893617018</v>
      </c>
      <c r="O16" s="128"/>
    </row>
    <row r="17" spans="1:17" ht="13.5" customHeight="1" x14ac:dyDescent="0.2">
      <c r="A17" s="269" t="str">
        <f>A7</f>
        <v>女性(n = 901 )　　</v>
      </c>
      <c r="B17" s="113">
        <f>B7</f>
        <v>901</v>
      </c>
      <c r="C17" s="129">
        <v>441</v>
      </c>
      <c r="D17" s="130">
        <v>465</v>
      </c>
      <c r="E17" s="130">
        <v>417</v>
      </c>
      <c r="F17" s="130">
        <v>256</v>
      </c>
      <c r="G17" s="130">
        <v>106</v>
      </c>
      <c r="H17" s="130">
        <v>118</v>
      </c>
      <c r="I17" s="130">
        <v>85</v>
      </c>
      <c r="J17" s="130">
        <v>62</v>
      </c>
      <c r="K17" s="130">
        <v>66</v>
      </c>
      <c r="L17" s="130">
        <v>35</v>
      </c>
      <c r="M17" s="130">
        <v>14</v>
      </c>
      <c r="N17" s="140">
        <v>27</v>
      </c>
      <c r="O17" s="131"/>
    </row>
    <row r="18" spans="1:17" x14ac:dyDescent="0.2">
      <c r="A18" s="270"/>
      <c r="B18" s="114">
        <f>B8</f>
        <v>55.754950495049506</v>
      </c>
      <c r="C18" s="125">
        <v>48.945615982241954</v>
      </c>
      <c r="D18" s="126">
        <v>51.609322974472803</v>
      </c>
      <c r="E18" s="126">
        <v>46.281908990011104</v>
      </c>
      <c r="F18" s="126">
        <v>28.412874583795784</v>
      </c>
      <c r="G18" s="126">
        <v>11.76470588235294</v>
      </c>
      <c r="H18" s="126">
        <v>13.09655937846837</v>
      </c>
      <c r="I18" s="126">
        <v>9.433962264150944</v>
      </c>
      <c r="J18" s="126">
        <v>6.8812430632630415</v>
      </c>
      <c r="K18" s="126">
        <v>7.3251942286348504</v>
      </c>
      <c r="L18" s="126">
        <v>3.8845726970033292</v>
      </c>
      <c r="M18" s="126">
        <v>1.553829078801332</v>
      </c>
      <c r="N18" s="127">
        <v>2.9966703662597114</v>
      </c>
      <c r="O18" s="128"/>
    </row>
    <row r="21" spans="1:17" x14ac:dyDescent="0.2">
      <c r="A21" s="3" t="s">
        <v>295</v>
      </c>
      <c r="B21" s="1" t="str">
        <f>B1</f>
        <v>施策や事業についての情報の入手方法</v>
      </c>
      <c r="C21" s="8"/>
      <c r="D21" s="9"/>
      <c r="E21" s="8"/>
      <c r="F21" s="8"/>
      <c r="G21" s="8"/>
      <c r="H21" s="9" t="s">
        <v>1</v>
      </c>
      <c r="I21" s="8"/>
      <c r="J21" s="8"/>
      <c r="K21" s="8"/>
      <c r="L21" s="8"/>
      <c r="M21" s="8"/>
      <c r="N21" s="8"/>
    </row>
    <row r="22" spans="1:17" ht="101.25" customHeight="1" x14ac:dyDescent="0.2">
      <c r="A22" s="12" t="s">
        <v>59</v>
      </c>
      <c r="B22" s="59" t="str">
        <f>B2</f>
        <v>調査数</v>
      </c>
      <c r="C22" s="60" t="str">
        <f t="shared" ref="C22:N22" si="7">C2</f>
        <v>　　　　　　岐阜県広報「岐阜県からのお知らせ」
（市町村広報紙、地域情報誌（フリーペーパー）
　　　　　　　　　又は行政情報アプリなどに掲載）</v>
      </c>
      <c r="D22" s="61" t="str">
        <f t="shared" si="7"/>
        <v>新聞の記事</v>
      </c>
      <c r="E22" s="61" t="str">
        <f t="shared" si="7"/>
        <v>テレビ（ニュース）</v>
      </c>
      <c r="F22" s="61" t="str">
        <f t="shared" si="7"/>
        <v>テレビ（県の広報番組）</v>
      </c>
      <c r="G22" s="61" t="str">
        <f t="shared" si="7"/>
        <v>テレビ（データ放送）</v>
      </c>
      <c r="H22" s="61" t="str">
        <f t="shared" si="7"/>
        <v>ラジオ（ニュース）</v>
      </c>
      <c r="I22" s="62" t="str">
        <f t="shared" si="7"/>
        <v>ラジオ（県の広報番組）</v>
      </c>
      <c r="J22" s="61" t="str">
        <f t="shared" si="7"/>
        <v>インターネット（ニュース）</v>
      </c>
      <c r="K22" s="61" t="str">
        <f t="shared" si="7"/>
        <v>インターネット（岐阜県庁ホームページ）</v>
      </c>
      <c r="L22" s="61" t="str">
        <f t="shared" si="7"/>
        <v>　　　フェイスブック、ツイッターなどのSNS
（ソーシャル・ネットワーキング・サービス）</v>
      </c>
      <c r="M22" s="62" t="str">
        <f t="shared" si="7"/>
        <v>パンフレット、ポスター</v>
      </c>
      <c r="N22" s="61" t="str">
        <f t="shared" si="7"/>
        <v>その他</v>
      </c>
      <c r="O22" s="63"/>
      <c r="P22" s="225" t="s">
        <v>118</v>
      </c>
    </row>
    <row r="23" spans="1:17" ht="13.5" customHeight="1" x14ac:dyDescent="0.2">
      <c r="A23" s="275" t="str">
        <f>A13</f>
        <v>全体(n = 1,616 )　　</v>
      </c>
      <c r="B23" s="227" t="str">
        <f>B3</f>
        <v>1,616</v>
      </c>
      <c r="C23" s="31">
        <f t="shared" ref="C23:N23" si="8">SUM(C25,C27,C29,C31,C33,C35,C37)</f>
        <v>761</v>
      </c>
      <c r="D23" s="32">
        <f t="shared" si="8"/>
        <v>734</v>
      </c>
      <c r="E23" s="32">
        <f t="shared" si="8"/>
        <v>791</v>
      </c>
      <c r="F23" s="32">
        <f t="shared" si="8"/>
        <v>180</v>
      </c>
      <c r="G23" s="32">
        <f t="shared" si="8"/>
        <v>67</v>
      </c>
      <c r="H23" s="32">
        <f t="shared" si="8"/>
        <v>116</v>
      </c>
      <c r="I23" s="32">
        <f t="shared" si="8"/>
        <v>34</v>
      </c>
      <c r="J23" s="32">
        <f t="shared" si="8"/>
        <v>494</v>
      </c>
      <c r="K23" s="32">
        <f t="shared" si="8"/>
        <v>120</v>
      </c>
      <c r="L23" s="32">
        <f t="shared" si="8"/>
        <v>136</v>
      </c>
      <c r="M23" s="32">
        <f t="shared" si="8"/>
        <v>171</v>
      </c>
      <c r="N23" s="32">
        <f t="shared" si="8"/>
        <v>45</v>
      </c>
      <c r="O23" s="33"/>
      <c r="P23" s="5">
        <f>SUM($C23:O23)</f>
        <v>3649</v>
      </c>
    </row>
    <row r="24" spans="1:17" x14ac:dyDescent="0.2">
      <c r="A24" s="276"/>
      <c r="B24" s="35">
        <v>100</v>
      </c>
      <c r="C24" s="20">
        <f t="shared" ref="C24:N24" si="9">C23/$B$23*100</f>
        <v>47.091584158415841</v>
      </c>
      <c r="D24" s="207">
        <f t="shared" si="9"/>
        <v>45.420792079207921</v>
      </c>
      <c r="E24" s="207">
        <f t="shared" si="9"/>
        <v>48.948019801980195</v>
      </c>
      <c r="F24" s="207">
        <f t="shared" si="9"/>
        <v>11.138613861386139</v>
      </c>
      <c r="G24" s="207">
        <f t="shared" si="9"/>
        <v>4.1460396039603964</v>
      </c>
      <c r="H24" s="207">
        <f t="shared" si="9"/>
        <v>7.1782178217821775</v>
      </c>
      <c r="I24" s="207">
        <f t="shared" si="9"/>
        <v>2.1039603960396041</v>
      </c>
      <c r="J24" s="207">
        <f t="shared" si="9"/>
        <v>30.56930693069307</v>
      </c>
      <c r="K24" s="207">
        <f t="shared" si="9"/>
        <v>7.4257425742574252</v>
      </c>
      <c r="L24" s="207">
        <f t="shared" si="9"/>
        <v>8.4158415841584162</v>
      </c>
      <c r="M24" s="207">
        <f t="shared" si="9"/>
        <v>10.581683168316831</v>
      </c>
      <c r="N24" s="207">
        <f t="shared" si="9"/>
        <v>2.7846534653465347</v>
      </c>
      <c r="O24" s="208"/>
      <c r="P24" s="195"/>
    </row>
    <row r="25" spans="1:17" ht="13.5" customHeight="1" x14ac:dyDescent="0.2">
      <c r="A25" s="273" t="str">
        <f>"18～19歳(n = "&amp;B25&amp;" )　　"</f>
        <v>18～19歳(n = 21 )　　</v>
      </c>
      <c r="B25" s="34">
        <v>21</v>
      </c>
      <c r="C25" s="31">
        <v>6</v>
      </c>
      <c r="D25" s="32">
        <v>3</v>
      </c>
      <c r="E25" s="32">
        <v>7</v>
      </c>
      <c r="F25" s="32">
        <v>2</v>
      </c>
      <c r="G25" s="32">
        <v>0</v>
      </c>
      <c r="H25" s="32">
        <v>0</v>
      </c>
      <c r="I25" s="32">
        <v>0</v>
      </c>
      <c r="J25" s="32">
        <v>7</v>
      </c>
      <c r="K25" s="32">
        <v>1</v>
      </c>
      <c r="L25" s="32">
        <v>2</v>
      </c>
      <c r="M25" s="32">
        <v>3</v>
      </c>
      <c r="N25" s="32">
        <v>1</v>
      </c>
      <c r="O25" s="33"/>
      <c r="P25" s="5">
        <f>SUM($C25:O25)</f>
        <v>32</v>
      </c>
      <c r="Q25" t="str">
        <f>" 18～19歳（N = "&amp;P25&amp;" : n = "&amp;B25&amp;"）"</f>
        <v xml:space="preserve"> 18～19歳（N = 32 : n = 21）</v>
      </c>
    </row>
    <row r="26" spans="1:17" x14ac:dyDescent="0.2">
      <c r="A26" s="274"/>
      <c r="B26" s="35">
        <f>B25/$B$23*100</f>
        <v>1.2995049504950495</v>
      </c>
      <c r="C26" s="20">
        <f t="shared" ref="C26:N26" si="10">C25/$B$25*100</f>
        <v>28.571428571428569</v>
      </c>
      <c r="D26" s="207">
        <f t="shared" si="10"/>
        <v>14.285714285714285</v>
      </c>
      <c r="E26" s="207">
        <f t="shared" si="10"/>
        <v>33.333333333333329</v>
      </c>
      <c r="F26" s="207">
        <f t="shared" si="10"/>
        <v>9.5238095238095237</v>
      </c>
      <c r="G26" s="207">
        <f t="shared" si="10"/>
        <v>0</v>
      </c>
      <c r="H26" s="207">
        <f t="shared" si="10"/>
        <v>0</v>
      </c>
      <c r="I26" s="207">
        <f t="shared" si="10"/>
        <v>0</v>
      </c>
      <c r="J26" s="207">
        <f t="shared" si="10"/>
        <v>33.333333333333329</v>
      </c>
      <c r="K26" s="207">
        <f t="shared" si="10"/>
        <v>4.7619047619047619</v>
      </c>
      <c r="L26" s="207">
        <f t="shared" si="10"/>
        <v>9.5238095238095237</v>
      </c>
      <c r="M26" s="207">
        <f t="shared" si="10"/>
        <v>14.285714285714285</v>
      </c>
      <c r="N26" s="207">
        <f t="shared" si="10"/>
        <v>4.7619047619047619</v>
      </c>
      <c r="O26" s="208"/>
      <c r="P26" s="195"/>
    </row>
    <row r="27" spans="1:17" ht="13.5" customHeight="1" x14ac:dyDescent="0.2">
      <c r="A27" s="273" t="str">
        <f>"20～29歳(n = "&amp;B27&amp;" )　　"</f>
        <v>20～29歳(n = 119 )　　</v>
      </c>
      <c r="B27" s="34">
        <v>119</v>
      </c>
      <c r="C27" s="31">
        <v>38</v>
      </c>
      <c r="D27" s="32">
        <v>16</v>
      </c>
      <c r="E27" s="32">
        <v>54</v>
      </c>
      <c r="F27" s="32">
        <v>14</v>
      </c>
      <c r="G27" s="32">
        <v>3</v>
      </c>
      <c r="H27" s="32">
        <v>1</v>
      </c>
      <c r="I27" s="32">
        <v>1</v>
      </c>
      <c r="J27" s="32">
        <v>36</v>
      </c>
      <c r="K27" s="32">
        <v>5</v>
      </c>
      <c r="L27" s="32">
        <v>26</v>
      </c>
      <c r="M27" s="32">
        <v>13</v>
      </c>
      <c r="N27" s="32">
        <v>8</v>
      </c>
      <c r="O27" s="33"/>
      <c r="P27" s="5">
        <f>SUM($C27:O27)</f>
        <v>215</v>
      </c>
      <c r="Q27" t="str">
        <f>" 20～29歳（N = "&amp;P27&amp;" : n = "&amp;B27&amp;"）"</f>
        <v xml:space="preserve"> 20～29歳（N = 215 : n = 119）</v>
      </c>
    </row>
    <row r="28" spans="1:17" x14ac:dyDescent="0.2">
      <c r="A28" s="274"/>
      <c r="B28" s="35">
        <f>B27/$B$23*100</f>
        <v>7.3638613861386135</v>
      </c>
      <c r="C28" s="20">
        <f t="shared" ref="C28:N28" si="11">C27/$B$27*100</f>
        <v>31.932773109243694</v>
      </c>
      <c r="D28" s="207">
        <f t="shared" si="11"/>
        <v>13.445378151260504</v>
      </c>
      <c r="E28" s="207">
        <f t="shared" si="11"/>
        <v>45.378151260504204</v>
      </c>
      <c r="F28" s="207">
        <f t="shared" si="11"/>
        <v>11.76470588235294</v>
      </c>
      <c r="G28" s="207">
        <f t="shared" si="11"/>
        <v>2.5210084033613445</v>
      </c>
      <c r="H28" s="207">
        <f t="shared" si="11"/>
        <v>0.84033613445378152</v>
      </c>
      <c r="I28" s="207">
        <f t="shared" si="11"/>
        <v>0.84033613445378152</v>
      </c>
      <c r="J28" s="207">
        <f t="shared" si="11"/>
        <v>30.252100840336134</v>
      </c>
      <c r="K28" s="207">
        <f t="shared" si="11"/>
        <v>4.2016806722689077</v>
      </c>
      <c r="L28" s="207">
        <f t="shared" si="11"/>
        <v>21.84873949579832</v>
      </c>
      <c r="M28" s="207">
        <f t="shared" si="11"/>
        <v>10.92436974789916</v>
      </c>
      <c r="N28" s="207">
        <f t="shared" si="11"/>
        <v>6.7226890756302522</v>
      </c>
      <c r="O28" s="208"/>
      <c r="P28" s="195"/>
    </row>
    <row r="29" spans="1:17" ht="13.5" customHeight="1" x14ac:dyDescent="0.2">
      <c r="A29" s="273" t="str">
        <f>"30～39歳(n = "&amp;B29&amp;" )　　"</f>
        <v>30～39歳(n = 196 )　　</v>
      </c>
      <c r="B29" s="34">
        <v>196</v>
      </c>
      <c r="C29" s="31">
        <v>75</v>
      </c>
      <c r="D29" s="32">
        <v>37</v>
      </c>
      <c r="E29" s="32">
        <v>78</v>
      </c>
      <c r="F29" s="32">
        <v>10</v>
      </c>
      <c r="G29" s="32">
        <v>5</v>
      </c>
      <c r="H29" s="32">
        <v>8</v>
      </c>
      <c r="I29" s="32">
        <v>2</v>
      </c>
      <c r="J29" s="32">
        <v>97</v>
      </c>
      <c r="K29" s="32">
        <v>23</v>
      </c>
      <c r="L29" s="32">
        <v>46</v>
      </c>
      <c r="M29" s="32">
        <v>21</v>
      </c>
      <c r="N29" s="32">
        <v>6</v>
      </c>
      <c r="O29" s="33"/>
      <c r="P29" s="5">
        <f>SUM($C29:O29)</f>
        <v>408</v>
      </c>
      <c r="Q29" t="str">
        <f>" 30～39歳（N = "&amp;P29&amp;" : n = "&amp;B29&amp;"）"</f>
        <v xml:space="preserve"> 30～39歳（N = 408 : n = 196）</v>
      </c>
    </row>
    <row r="30" spans="1:17" x14ac:dyDescent="0.2">
      <c r="A30" s="274"/>
      <c r="B30" s="35">
        <f>B29/$B$23*100</f>
        <v>12.128712871287128</v>
      </c>
      <c r="C30" s="20">
        <f t="shared" ref="C30:N30" si="12">C29/$B$29*100</f>
        <v>38.265306122448976</v>
      </c>
      <c r="D30" s="207">
        <f t="shared" si="12"/>
        <v>18.877551020408163</v>
      </c>
      <c r="E30" s="207">
        <f t="shared" si="12"/>
        <v>39.795918367346935</v>
      </c>
      <c r="F30" s="207">
        <f t="shared" si="12"/>
        <v>5.1020408163265305</v>
      </c>
      <c r="G30" s="207">
        <f t="shared" si="12"/>
        <v>2.5510204081632653</v>
      </c>
      <c r="H30" s="207">
        <f t="shared" si="12"/>
        <v>4.0816326530612246</v>
      </c>
      <c r="I30" s="207">
        <f t="shared" si="12"/>
        <v>1.0204081632653061</v>
      </c>
      <c r="J30" s="207">
        <f t="shared" si="12"/>
        <v>49.489795918367349</v>
      </c>
      <c r="K30" s="207">
        <f t="shared" si="12"/>
        <v>11.73469387755102</v>
      </c>
      <c r="L30" s="207">
        <f t="shared" si="12"/>
        <v>23.469387755102041</v>
      </c>
      <c r="M30" s="207">
        <f t="shared" si="12"/>
        <v>10.714285714285714</v>
      </c>
      <c r="N30" s="207">
        <f t="shared" si="12"/>
        <v>3.0612244897959182</v>
      </c>
      <c r="O30" s="208"/>
      <c r="P30" s="195"/>
    </row>
    <row r="31" spans="1:17" ht="13.5" customHeight="1" x14ac:dyDescent="0.2">
      <c r="A31" s="273" t="str">
        <f>"40～49歳(n = "&amp;B31&amp;" )　　"</f>
        <v>40～49歳(n = 281 )　　</v>
      </c>
      <c r="B31" s="34">
        <v>281</v>
      </c>
      <c r="C31" s="31">
        <v>123</v>
      </c>
      <c r="D31" s="32">
        <v>98</v>
      </c>
      <c r="E31" s="32">
        <v>116</v>
      </c>
      <c r="F31" s="32">
        <v>26</v>
      </c>
      <c r="G31" s="32">
        <v>13</v>
      </c>
      <c r="H31" s="32">
        <v>11</v>
      </c>
      <c r="I31" s="32">
        <v>4</v>
      </c>
      <c r="J31" s="32">
        <v>120</v>
      </c>
      <c r="K31" s="32">
        <v>35</v>
      </c>
      <c r="L31" s="32">
        <v>30</v>
      </c>
      <c r="M31" s="32">
        <v>32</v>
      </c>
      <c r="N31" s="32">
        <v>10</v>
      </c>
      <c r="O31" s="33"/>
      <c r="P31" s="5">
        <f>SUM($C31:O31)</f>
        <v>618</v>
      </c>
      <c r="Q31" t="str">
        <f>" 40～49歳（N = "&amp;P31&amp;" : n = "&amp;B31&amp;"）"</f>
        <v xml:space="preserve"> 40～49歳（N = 618 : n = 281）</v>
      </c>
    </row>
    <row r="32" spans="1:17" x14ac:dyDescent="0.2">
      <c r="A32" s="274"/>
      <c r="B32" s="35">
        <f>B31/$B$23*100</f>
        <v>17.388613861386137</v>
      </c>
      <c r="C32" s="20">
        <f t="shared" ref="C32:N32" si="13">C31/$B$31*100</f>
        <v>43.772241992882563</v>
      </c>
      <c r="D32" s="207">
        <f t="shared" si="13"/>
        <v>34.87544483985765</v>
      </c>
      <c r="E32" s="207">
        <f t="shared" si="13"/>
        <v>41.281138790035584</v>
      </c>
      <c r="F32" s="207">
        <f t="shared" si="13"/>
        <v>9.252669039145907</v>
      </c>
      <c r="G32" s="207">
        <f t="shared" si="13"/>
        <v>4.6263345195729535</v>
      </c>
      <c r="H32" s="207">
        <f t="shared" si="13"/>
        <v>3.9145907473309607</v>
      </c>
      <c r="I32" s="207">
        <f t="shared" si="13"/>
        <v>1.4234875444839856</v>
      </c>
      <c r="J32" s="207">
        <f t="shared" si="13"/>
        <v>42.704626334519574</v>
      </c>
      <c r="K32" s="207">
        <f t="shared" si="13"/>
        <v>12.455516014234876</v>
      </c>
      <c r="L32" s="207">
        <f t="shared" si="13"/>
        <v>10.676156583629894</v>
      </c>
      <c r="M32" s="207">
        <f t="shared" si="13"/>
        <v>11.387900355871885</v>
      </c>
      <c r="N32" s="207">
        <f t="shared" si="13"/>
        <v>3.5587188612099649</v>
      </c>
      <c r="O32" s="208"/>
      <c r="P32" s="195"/>
    </row>
    <row r="33" spans="1:29" ht="13.5" customHeight="1" x14ac:dyDescent="0.2">
      <c r="A33" s="273" t="str">
        <f>"50～59歳(n = "&amp;B33&amp;" )　　"</f>
        <v>50～59歳(n = 320 )　　</v>
      </c>
      <c r="B33" s="34">
        <v>320</v>
      </c>
      <c r="C33" s="31">
        <v>149</v>
      </c>
      <c r="D33" s="32">
        <v>146</v>
      </c>
      <c r="E33" s="32">
        <v>158</v>
      </c>
      <c r="F33" s="32">
        <v>31</v>
      </c>
      <c r="G33" s="32">
        <v>13</v>
      </c>
      <c r="H33" s="32">
        <v>27</v>
      </c>
      <c r="I33" s="32">
        <v>7</v>
      </c>
      <c r="J33" s="32">
        <v>104</v>
      </c>
      <c r="K33" s="32">
        <v>29</v>
      </c>
      <c r="L33" s="32">
        <v>18</v>
      </c>
      <c r="M33" s="32">
        <v>28</v>
      </c>
      <c r="N33" s="32">
        <v>9</v>
      </c>
      <c r="O33" s="33"/>
      <c r="P33" s="5">
        <f>SUM($C33:O33)</f>
        <v>719</v>
      </c>
      <c r="Q33" t="str">
        <f>" 50～59歳（N = "&amp;P33&amp;" : n = "&amp;B33&amp;"）"</f>
        <v xml:space="preserve"> 50～59歳（N = 719 : n = 320）</v>
      </c>
    </row>
    <row r="34" spans="1:29" x14ac:dyDescent="0.2">
      <c r="A34" s="274"/>
      <c r="B34" s="35">
        <f>B33/$B$23*100</f>
        <v>19.801980198019802</v>
      </c>
      <c r="C34" s="20">
        <f t="shared" ref="C34:N34" si="14">C33/$B$33*100</f>
        <v>46.5625</v>
      </c>
      <c r="D34" s="207">
        <f t="shared" si="14"/>
        <v>45.625</v>
      </c>
      <c r="E34" s="207">
        <f t="shared" si="14"/>
        <v>49.375</v>
      </c>
      <c r="F34" s="207">
        <f t="shared" si="14"/>
        <v>9.6875</v>
      </c>
      <c r="G34" s="207">
        <f t="shared" si="14"/>
        <v>4.0625</v>
      </c>
      <c r="H34" s="207">
        <f t="shared" si="14"/>
        <v>8.4375</v>
      </c>
      <c r="I34" s="207">
        <f t="shared" si="14"/>
        <v>2.1875</v>
      </c>
      <c r="J34" s="207">
        <f t="shared" si="14"/>
        <v>32.5</v>
      </c>
      <c r="K34" s="207">
        <f t="shared" si="14"/>
        <v>9.0625</v>
      </c>
      <c r="L34" s="207">
        <f t="shared" si="14"/>
        <v>5.625</v>
      </c>
      <c r="M34" s="207">
        <f t="shared" si="14"/>
        <v>8.75</v>
      </c>
      <c r="N34" s="207">
        <f t="shared" si="14"/>
        <v>2.8125</v>
      </c>
      <c r="O34" s="208"/>
      <c r="P34" s="195"/>
    </row>
    <row r="35" spans="1:29" ht="13.5" customHeight="1" x14ac:dyDescent="0.2">
      <c r="A35" s="273" t="str">
        <f>"60～69歳(n = "&amp;B35&amp;" )　　"</f>
        <v>60～69歳(n = 352 )　　</v>
      </c>
      <c r="B35" s="34">
        <v>352</v>
      </c>
      <c r="C35" s="31">
        <v>198</v>
      </c>
      <c r="D35" s="32">
        <v>210</v>
      </c>
      <c r="E35" s="32">
        <v>184</v>
      </c>
      <c r="F35" s="32">
        <v>40</v>
      </c>
      <c r="G35" s="32">
        <v>14</v>
      </c>
      <c r="H35" s="32">
        <v>24</v>
      </c>
      <c r="I35" s="32">
        <v>8</v>
      </c>
      <c r="J35" s="32">
        <v>95</v>
      </c>
      <c r="K35" s="32">
        <v>21</v>
      </c>
      <c r="L35" s="32">
        <v>12</v>
      </c>
      <c r="M35" s="32">
        <v>33</v>
      </c>
      <c r="N35" s="32">
        <v>7</v>
      </c>
      <c r="O35" s="33"/>
      <c r="P35" s="5">
        <f>SUM($C35:O35)</f>
        <v>846</v>
      </c>
      <c r="Q35" t="str">
        <f>" 60～69歳（N = "&amp;P35&amp;" : n = "&amp;B35&amp;"）"</f>
        <v xml:space="preserve"> 60～69歳（N = 846 : n = 352）</v>
      </c>
    </row>
    <row r="36" spans="1:29" x14ac:dyDescent="0.2">
      <c r="A36" s="274"/>
      <c r="B36" s="35">
        <f>B35/$B$23*100</f>
        <v>21.782178217821784</v>
      </c>
      <c r="C36" s="20">
        <f t="shared" ref="C36:N36" si="15">C35/$B$35*100</f>
        <v>56.25</v>
      </c>
      <c r="D36" s="207">
        <f t="shared" si="15"/>
        <v>59.659090909090907</v>
      </c>
      <c r="E36" s="207">
        <f t="shared" si="15"/>
        <v>52.272727272727273</v>
      </c>
      <c r="F36" s="207">
        <f t="shared" si="15"/>
        <v>11.363636363636363</v>
      </c>
      <c r="G36" s="207">
        <f t="shared" si="15"/>
        <v>3.9772727272727271</v>
      </c>
      <c r="H36" s="207">
        <f t="shared" si="15"/>
        <v>6.8181818181818175</v>
      </c>
      <c r="I36" s="207">
        <f t="shared" si="15"/>
        <v>2.2727272727272729</v>
      </c>
      <c r="J36" s="207">
        <f t="shared" si="15"/>
        <v>26.988636363636363</v>
      </c>
      <c r="K36" s="207">
        <f t="shared" si="15"/>
        <v>5.9659090909090908</v>
      </c>
      <c r="L36" s="207">
        <f t="shared" si="15"/>
        <v>3.4090909090909087</v>
      </c>
      <c r="M36" s="207">
        <f t="shared" si="15"/>
        <v>9.375</v>
      </c>
      <c r="N36" s="207">
        <f t="shared" si="15"/>
        <v>1.9886363636363635</v>
      </c>
      <c r="O36" s="208"/>
      <c r="P36" s="195"/>
    </row>
    <row r="37" spans="1:29" ht="13.5" customHeight="1" x14ac:dyDescent="0.2">
      <c r="A37" s="273" t="str">
        <f>"70歳以上(n = "&amp;B37&amp;" )　　"</f>
        <v>70歳以上(n = 315 )　　</v>
      </c>
      <c r="B37" s="34">
        <v>315</v>
      </c>
      <c r="C37" s="31">
        <v>172</v>
      </c>
      <c r="D37" s="32">
        <v>224</v>
      </c>
      <c r="E37" s="32">
        <v>194</v>
      </c>
      <c r="F37" s="32">
        <v>57</v>
      </c>
      <c r="G37" s="32">
        <v>19</v>
      </c>
      <c r="H37" s="32">
        <v>45</v>
      </c>
      <c r="I37" s="32">
        <v>12</v>
      </c>
      <c r="J37" s="32">
        <v>35</v>
      </c>
      <c r="K37" s="32">
        <v>6</v>
      </c>
      <c r="L37" s="32">
        <v>2</v>
      </c>
      <c r="M37" s="32">
        <v>41</v>
      </c>
      <c r="N37" s="32">
        <v>4</v>
      </c>
      <c r="O37" s="33"/>
      <c r="P37" s="5">
        <f>SUM($C37:O37)</f>
        <v>811</v>
      </c>
      <c r="Q37" t="str">
        <f>" 70歳以上（N = "&amp;P37&amp;" : n = "&amp;B37&amp;"）"</f>
        <v xml:space="preserve"> 70歳以上（N = 811 : n = 315）</v>
      </c>
    </row>
    <row r="38" spans="1:29" x14ac:dyDescent="0.2">
      <c r="A38" s="274"/>
      <c r="B38" s="35">
        <f>B37/$B$23*100</f>
        <v>19.492574257425744</v>
      </c>
      <c r="C38" s="20">
        <f t="shared" ref="C38:N38" si="16">C37/$B$37*100</f>
        <v>54.603174603174601</v>
      </c>
      <c r="D38" s="207">
        <f t="shared" si="16"/>
        <v>71.111111111111114</v>
      </c>
      <c r="E38" s="207">
        <f t="shared" si="16"/>
        <v>61.587301587301589</v>
      </c>
      <c r="F38" s="207">
        <f t="shared" si="16"/>
        <v>18.095238095238095</v>
      </c>
      <c r="G38" s="207">
        <f t="shared" si="16"/>
        <v>6.0317460317460316</v>
      </c>
      <c r="H38" s="207">
        <f t="shared" si="16"/>
        <v>14.285714285714285</v>
      </c>
      <c r="I38" s="207">
        <f t="shared" si="16"/>
        <v>3.8095238095238098</v>
      </c>
      <c r="J38" s="207">
        <f t="shared" si="16"/>
        <v>11.111111111111111</v>
      </c>
      <c r="K38" s="207">
        <f t="shared" si="16"/>
        <v>1.9047619047619049</v>
      </c>
      <c r="L38" s="207">
        <f t="shared" si="16"/>
        <v>0.63492063492063489</v>
      </c>
      <c r="M38" s="207">
        <f t="shared" si="16"/>
        <v>13.015873015873018</v>
      </c>
      <c r="N38" s="207">
        <f t="shared" si="16"/>
        <v>1.2698412698412698</v>
      </c>
      <c r="O38" s="208"/>
      <c r="P38" s="195"/>
    </row>
    <row r="39" spans="1:29" s="186" customFormat="1" x14ac:dyDescent="0.2">
      <c r="A39" s="184"/>
      <c r="B39" s="182"/>
      <c r="C39" s="182">
        <v>3</v>
      </c>
      <c r="D39" s="182">
        <v>2</v>
      </c>
      <c r="E39" s="182">
        <v>1</v>
      </c>
      <c r="F39" s="182">
        <v>5</v>
      </c>
      <c r="G39" s="182">
        <v>10</v>
      </c>
      <c r="H39" s="182">
        <v>9</v>
      </c>
      <c r="I39" s="182">
        <v>11</v>
      </c>
      <c r="J39" s="182">
        <v>4</v>
      </c>
      <c r="K39" s="182">
        <v>8</v>
      </c>
      <c r="L39" s="182">
        <v>7</v>
      </c>
      <c r="M39" s="182">
        <v>6</v>
      </c>
      <c r="N39" s="182"/>
      <c r="O39" s="182"/>
      <c r="P39" s="226"/>
    </row>
    <row r="40" spans="1:29" x14ac:dyDescent="0.2">
      <c r="A40" s="26" t="s">
        <v>2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29" x14ac:dyDescent="0.2">
      <c r="A41" s="6" t="s">
        <v>4</v>
      </c>
      <c r="B41" s="4"/>
      <c r="C41" s="27">
        <v>1</v>
      </c>
      <c r="D41" s="27">
        <v>2</v>
      </c>
      <c r="E41" s="27">
        <v>3</v>
      </c>
      <c r="F41" s="27">
        <v>4</v>
      </c>
      <c r="G41" s="27">
        <v>5</v>
      </c>
      <c r="H41" s="27">
        <v>6</v>
      </c>
      <c r="I41" s="27">
        <v>7</v>
      </c>
      <c r="J41" s="27">
        <v>8</v>
      </c>
      <c r="K41" s="27">
        <v>9</v>
      </c>
      <c r="L41" s="27">
        <v>10</v>
      </c>
      <c r="M41" s="27">
        <v>11</v>
      </c>
      <c r="N41" s="27">
        <v>12</v>
      </c>
      <c r="O41" s="27">
        <v>13</v>
      </c>
      <c r="Q41" s="45"/>
      <c r="R41" s="27">
        <v>1</v>
      </c>
      <c r="S41" s="27">
        <v>2</v>
      </c>
      <c r="T41" s="27">
        <v>3</v>
      </c>
      <c r="U41" s="27">
        <v>4</v>
      </c>
      <c r="V41" s="27">
        <v>5</v>
      </c>
      <c r="W41" s="27">
        <v>6</v>
      </c>
      <c r="X41" s="27">
        <v>7</v>
      </c>
      <c r="Y41" s="27">
        <v>8</v>
      </c>
      <c r="Z41" s="27">
        <v>9</v>
      </c>
      <c r="AA41" s="27">
        <v>10</v>
      </c>
      <c r="AB41" s="27">
        <v>11</v>
      </c>
      <c r="AC41" s="27">
        <v>12</v>
      </c>
    </row>
    <row r="42" spans="1:29" ht="183.6" x14ac:dyDescent="0.2">
      <c r="A42" s="12" t="str">
        <f>A22</f>
        <v>【年代別】</v>
      </c>
      <c r="B42" s="59" t="str">
        <f>B12</f>
        <v>調査数</v>
      </c>
      <c r="C42" s="60" t="s">
        <v>291</v>
      </c>
      <c r="D42" s="61" t="s">
        <v>294</v>
      </c>
      <c r="E42" s="61" t="s">
        <v>289</v>
      </c>
      <c r="F42" s="61" t="s">
        <v>288</v>
      </c>
      <c r="G42" s="61" t="s">
        <v>287</v>
      </c>
      <c r="H42" s="61" t="s">
        <v>286</v>
      </c>
      <c r="I42" s="61" t="s">
        <v>201</v>
      </c>
      <c r="J42" s="61" t="s">
        <v>285</v>
      </c>
      <c r="K42" s="61" t="s">
        <v>284</v>
      </c>
      <c r="L42" s="61" t="s">
        <v>283</v>
      </c>
      <c r="M42" s="61" t="s">
        <v>282</v>
      </c>
      <c r="N42" s="61" t="s">
        <v>57</v>
      </c>
      <c r="O42" s="63"/>
      <c r="P42" s="44" t="s">
        <v>32</v>
      </c>
      <c r="Q42" s="12" t="str">
        <f>A42</f>
        <v>【年代別】</v>
      </c>
      <c r="R42" s="60" t="str">
        <f t="shared" ref="R42:AC42" si="17">C42</f>
        <v>テレビ（ニュース）</v>
      </c>
      <c r="S42" s="61" t="str">
        <f t="shared" si="17"/>
        <v>　　　　　　岐阜県広報「岐阜県からのお知らせ」
（市町村広報紙、地域情報誌（フリーペーパー）
　　　　　　　　　又は行政情報アプリなどに掲載）</v>
      </c>
      <c r="T42" s="61" t="str">
        <f t="shared" si="17"/>
        <v>新聞の記事</v>
      </c>
      <c r="U42" s="61" t="str">
        <f t="shared" si="17"/>
        <v>インターネット（ニュース）</v>
      </c>
      <c r="V42" s="61" t="str">
        <f t="shared" si="17"/>
        <v>テレビ（県の広報番組）</v>
      </c>
      <c r="W42" s="61" t="str">
        <f t="shared" si="17"/>
        <v>パンフレット、ポスター</v>
      </c>
      <c r="X42" s="62" t="str">
        <f t="shared" si="17"/>
        <v>　　　フェイスブック、ツイッターなどのSNS
（ソーシャル・ネットワーキング・サービス）</v>
      </c>
      <c r="Y42" s="62" t="str">
        <f t="shared" si="17"/>
        <v>インターネット（岐阜県庁ホームページ）</v>
      </c>
      <c r="Z42" s="61" t="str">
        <f t="shared" si="17"/>
        <v>ラジオ（ニュース）</v>
      </c>
      <c r="AA42" s="62" t="str">
        <f t="shared" si="17"/>
        <v>テレビ（データ放送）</v>
      </c>
      <c r="AB42" s="61" t="str">
        <f t="shared" si="17"/>
        <v>ラジオ（県の広報番組）</v>
      </c>
      <c r="AC42" s="63" t="str">
        <f t="shared" si="17"/>
        <v>その他</v>
      </c>
    </row>
    <row r="43" spans="1:29" ht="12.75" customHeight="1" x14ac:dyDescent="0.2">
      <c r="A43" s="269" t="str">
        <f>A23</f>
        <v>全体(n = 1,616 )　　</v>
      </c>
      <c r="B43" s="224" t="str">
        <f t="shared" ref="B43:B58" si="18">B23</f>
        <v>1,616</v>
      </c>
      <c r="C43" s="121">
        <v>791</v>
      </c>
      <c r="D43" s="122">
        <v>761</v>
      </c>
      <c r="E43" s="122">
        <v>734</v>
      </c>
      <c r="F43" s="122">
        <v>494</v>
      </c>
      <c r="G43" s="122">
        <v>180</v>
      </c>
      <c r="H43" s="122">
        <v>171</v>
      </c>
      <c r="I43" s="123">
        <v>136</v>
      </c>
      <c r="J43" s="123">
        <v>120</v>
      </c>
      <c r="K43" s="122">
        <v>116</v>
      </c>
      <c r="L43" s="122">
        <v>67</v>
      </c>
      <c r="M43" s="122">
        <v>34</v>
      </c>
      <c r="N43" s="123">
        <v>45</v>
      </c>
      <c r="O43" s="124"/>
      <c r="P43" s="166">
        <f>SUM(C43:O43)</f>
        <v>3649</v>
      </c>
      <c r="Q43" s="93" t="str">
        <f>A45</f>
        <v>18～19歳(n = 21 )　　</v>
      </c>
      <c r="R43" s="84">
        <f t="shared" ref="R43:AC43" si="19">C46</f>
        <v>33.333333333333329</v>
      </c>
      <c r="S43" s="85">
        <f t="shared" si="19"/>
        <v>28.571428571428569</v>
      </c>
      <c r="T43" s="85">
        <f t="shared" si="19"/>
        <v>14.285714285714285</v>
      </c>
      <c r="U43" s="85">
        <f t="shared" si="19"/>
        <v>33.333333333333329</v>
      </c>
      <c r="V43" s="85">
        <f t="shared" si="19"/>
        <v>9.5238095238095237</v>
      </c>
      <c r="W43" s="85">
        <f t="shared" si="19"/>
        <v>14.285714285714285</v>
      </c>
      <c r="X43" s="86">
        <f t="shared" si="19"/>
        <v>9.5238095238095237</v>
      </c>
      <c r="Y43" s="86">
        <f t="shared" si="19"/>
        <v>4.7619047619047619</v>
      </c>
      <c r="Z43" s="85">
        <f t="shared" si="19"/>
        <v>0</v>
      </c>
      <c r="AA43" s="86">
        <f t="shared" si="19"/>
        <v>0</v>
      </c>
      <c r="AB43" s="85">
        <f t="shared" si="19"/>
        <v>0</v>
      </c>
      <c r="AC43" s="87">
        <f t="shared" si="19"/>
        <v>4.7619047619047619</v>
      </c>
    </row>
    <row r="44" spans="1:29" ht="12.75" customHeight="1" x14ac:dyDescent="0.2">
      <c r="A44" s="270"/>
      <c r="B44" s="114">
        <f t="shared" si="18"/>
        <v>100</v>
      </c>
      <c r="C44" s="125">
        <v>48.948019801980195</v>
      </c>
      <c r="D44" s="126">
        <v>47.091584158415841</v>
      </c>
      <c r="E44" s="126">
        <v>45.420792079207921</v>
      </c>
      <c r="F44" s="126">
        <v>30.56930693069307</v>
      </c>
      <c r="G44" s="126">
        <v>11.138613861386139</v>
      </c>
      <c r="H44" s="126">
        <v>10.581683168316831</v>
      </c>
      <c r="I44" s="127">
        <v>8.4158415841584162</v>
      </c>
      <c r="J44" s="127">
        <v>7.4257425742574252</v>
      </c>
      <c r="K44" s="126">
        <v>7.1782178217821775</v>
      </c>
      <c r="L44" s="126">
        <v>4.1460396039603964</v>
      </c>
      <c r="M44" s="126">
        <v>2.1039603960396041</v>
      </c>
      <c r="N44" s="127">
        <v>2.7846534653465347</v>
      </c>
      <c r="O44" s="128"/>
      <c r="Q44" s="95" t="str">
        <f>A47</f>
        <v>20～29歳(n = 119 )　　</v>
      </c>
      <c r="R44" s="88">
        <f t="shared" ref="R44:AC44" si="20">C48</f>
        <v>45.378151260504204</v>
      </c>
      <c r="S44" s="89">
        <f t="shared" si="20"/>
        <v>31.932773109243694</v>
      </c>
      <c r="T44" s="89">
        <f t="shared" si="20"/>
        <v>13.445378151260504</v>
      </c>
      <c r="U44" s="89">
        <f t="shared" si="20"/>
        <v>30.252100840336134</v>
      </c>
      <c r="V44" s="89">
        <f t="shared" si="20"/>
        <v>11.76470588235294</v>
      </c>
      <c r="W44" s="89">
        <f t="shared" si="20"/>
        <v>10.92436974789916</v>
      </c>
      <c r="X44" s="90">
        <f t="shared" si="20"/>
        <v>21.84873949579832</v>
      </c>
      <c r="Y44" s="90">
        <f t="shared" si="20"/>
        <v>4.2016806722689077</v>
      </c>
      <c r="Z44" s="89">
        <f t="shared" si="20"/>
        <v>0.84033613445378152</v>
      </c>
      <c r="AA44" s="90">
        <f t="shared" si="20"/>
        <v>2.5210084033613445</v>
      </c>
      <c r="AB44" s="89">
        <f t="shared" si="20"/>
        <v>0.84033613445378152</v>
      </c>
      <c r="AC44" s="91">
        <f t="shared" si="20"/>
        <v>6.7226890756302522</v>
      </c>
    </row>
    <row r="45" spans="1:29" ht="12.75" customHeight="1" x14ac:dyDescent="0.2">
      <c r="A45" s="269" t="str">
        <f>A25</f>
        <v>18～19歳(n = 21 )　　</v>
      </c>
      <c r="B45" s="113">
        <f t="shared" si="18"/>
        <v>21</v>
      </c>
      <c r="C45" s="129">
        <v>7</v>
      </c>
      <c r="D45" s="130">
        <v>6</v>
      </c>
      <c r="E45" s="130">
        <v>3</v>
      </c>
      <c r="F45" s="130">
        <v>7</v>
      </c>
      <c r="G45" s="130">
        <v>2</v>
      </c>
      <c r="H45" s="130">
        <v>3</v>
      </c>
      <c r="I45" s="140">
        <v>2</v>
      </c>
      <c r="J45" s="140">
        <v>1</v>
      </c>
      <c r="K45" s="130">
        <v>0</v>
      </c>
      <c r="L45" s="130">
        <v>0</v>
      </c>
      <c r="M45" s="130">
        <v>0</v>
      </c>
      <c r="N45" s="140">
        <v>1</v>
      </c>
      <c r="O45" s="131"/>
      <c r="Q45" s="95" t="str">
        <f>A49</f>
        <v>30～39歳(n = 196 )　　</v>
      </c>
      <c r="R45" s="88">
        <f t="shared" ref="R45:AC45" si="21">C50</f>
        <v>39.795918367346935</v>
      </c>
      <c r="S45" s="89">
        <f t="shared" si="21"/>
        <v>38.265306122448976</v>
      </c>
      <c r="T45" s="89">
        <f t="shared" si="21"/>
        <v>18.877551020408163</v>
      </c>
      <c r="U45" s="89">
        <f t="shared" si="21"/>
        <v>49.489795918367349</v>
      </c>
      <c r="V45" s="89">
        <f t="shared" si="21"/>
        <v>5.1020408163265305</v>
      </c>
      <c r="W45" s="89">
        <f t="shared" si="21"/>
        <v>10.714285714285714</v>
      </c>
      <c r="X45" s="90">
        <f t="shared" si="21"/>
        <v>23.469387755102041</v>
      </c>
      <c r="Y45" s="90">
        <f t="shared" si="21"/>
        <v>11.73469387755102</v>
      </c>
      <c r="Z45" s="89">
        <f t="shared" si="21"/>
        <v>4.0816326530612246</v>
      </c>
      <c r="AA45" s="90">
        <f t="shared" si="21"/>
        <v>2.5510204081632653</v>
      </c>
      <c r="AB45" s="89">
        <f t="shared" si="21"/>
        <v>1.0204081632653061</v>
      </c>
      <c r="AC45" s="91">
        <f t="shared" si="21"/>
        <v>3.0612244897959182</v>
      </c>
    </row>
    <row r="46" spans="1:29" ht="12.75" customHeight="1" x14ac:dyDescent="0.2">
      <c r="A46" s="270"/>
      <c r="B46" s="114">
        <f t="shared" si="18"/>
        <v>1.2995049504950495</v>
      </c>
      <c r="C46" s="125">
        <v>33.333333333333329</v>
      </c>
      <c r="D46" s="126">
        <v>28.571428571428569</v>
      </c>
      <c r="E46" s="126">
        <v>14.285714285714285</v>
      </c>
      <c r="F46" s="126">
        <v>33.333333333333329</v>
      </c>
      <c r="G46" s="126">
        <v>9.5238095238095237</v>
      </c>
      <c r="H46" s="126">
        <v>14.285714285714285</v>
      </c>
      <c r="I46" s="127">
        <v>9.5238095238095237</v>
      </c>
      <c r="J46" s="127">
        <v>4.7619047619047619</v>
      </c>
      <c r="K46" s="126">
        <v>0</v>
      </c>
      <c r="L46" s="126">
        <v>0</v>
      </c>
      <c r="M46" s="126">
        <v>0</v>
      </c>
      <c r="N46" s="127">
        <v>4.7619047619047619</v>
      </c>
      <c r="O46" s="128"/>
      <c r="Q46" s="95" t="str">
        <f>A51</f>
        <v>40～49歳(n = 281 )　　</v>
      </c>
      <c r="R46" s="88">
        <f t="shared" ref="R46:AC46" si="22">C52</f>
        <v>41.281138790035584</v>
      </c>
      <c r="S46" s="89">
        <f t="shared" si="22"/>
        <v>43.772241992882563</v>
      </c>
      <c r="T46" s="89">
        <f t="shared" si="22"/>
        <v>34.87544483985765</v>
      </c>
      <c r="U46" s="89">
        <f t="shared" si="22"/>
        <v>42.704626334519574</v>
      </c>
      <c r="V46" s="89">
        <f t="shared" si="22"/>
        <v>9.252669039145907</v>
      </c>
      <c r="W46" s="89">
        <f t="shared" si="22"/>
        <v>11.387900355871885</v>
      </c>
      <c r="X46" s="90">
        <f t="shared" si="22"/>
        <v>10.676156583629894</v>
      </c>
      <c r="Y46" s="90">
        <f t="shared" si="22"/>
        <v>12.455516014234876</v>
      </c>
      <c r="Z46" s="89">
        <f t="shared" si="22"/>
        <v>3.9145907473309607</v>
      </c>
      <c r="AA46" s="90">
        <f t="shared" si="22"/>
        <v>4.6263345195729535</v>
      </c>
      <c r="AB46" s="89">
        <f t="shared" si="22"/>
        <v>1.4234875444839856</v>
      </c>
      <c r="AC46" s="91">
        <f t="shared" si="22"/>
        <v>3.5587188612099649</v>
      </c>
    </row>
    <row r="47" spans="1:29" ht="12.75" customHeight="1" x14ac:dyDescent="0.2">
      <c r="A47" s="269" t="str">
        <f>A27</f>
        <v>20～29歳(n = 119 )　　</v>
      </c>
      <c r="B47" s="113">
        <f t="shared" si="18"/>
        <v>119</v>
      </c>
      <c r="C47" s="129">
        <v>54</v>
      </c>
      <c r="D47" s="130">
        <v>38</v>
      </c>
      <c r="E47" s="130">
        <v>16</v>
      </c>
      <c r="F47" s="130">
        <v>36</v>
      </c>
      <c r="G47" s="130">
        <v>14</v>
      </c>
      <c r="H47" s="130">
        <v>13</v>
      </c>
      <c r="I47" s="140">
        <v>26</v>
      </c>
      <c r="J47" s="140">
        <v>5</v>
      </c>
      <c r="K47" s="130">
        <v>1</v>
      </c>
      <c r="L47" s="130">
        <v>3</v>
      </c>
      <c r="M47" s="130">
        <v>1</v>
      </c>
      <c r="N47" s="140">
        <v>8</v>
      </c>
      <c r="O47" s="131"/>
      <c r="Q47" s="95" t="str">
        <f>A53</f>
        <v>50～59歳(n = 320 )　　</v>
      </c>
      <c r="R47" s="88">
        <f t="shared" ref="R47:AC47" si="23">C54</f>
        <v>49.375</v>
      </c>
      <c r="S47" s="89">
        <f t="shared" si="23"/>
        <v>46.5625</v>
      </c>
      <c r="T47" s="89">
        <f t="shared" si="23"/>
        <v>45.625</v>
      </c>
      <c r="U47" s="89">
        <f t="shared" si="23"/>
        <v>32.5</v>
      </c>
      <c r="V47" s="89">
        <f t="shared" si="23"/>
        <v>9.6875</v>
      </c>
      <c r="W47" s="89">
        <f t="shared" si="23"/>
        <v>8.75</v>
      </c>
      <c r="X47" s="90">
        <f t="shared" si="23"/>
        <v>5.625</v>
      </c>
      <c r="Y47" s="90">
        <f t="shared" si="23"/>
        <v>9.0625</v>
      </c>
      <c r="Z47" s="89">
        <f t="shared" si="23"/>
        <v>8.4375</v>
      </c>
      <c r="AA47" s="90">
        <f t="shared" si="23"/>
        <v>4.0625</v>
      </c>
      <c r="AB47" s="89">
        <f t="shared" si="23"/>
        <v>2.1875</v>
      </c>
      <c r="AC47" s="91">
        <f t="shared" si="23"/>
        <v>2.8125</v>
      </c>
    </row>
    <row r="48" spans="1:29" ht="12.75" customHeight="1" x14ac:dyDescent="0.2">
      <c r="A48" s="270"/>
      <c r="B48" s="114">
        <f t="shared" si="18"/>
        <v>7.3638613861386135</v>
      </c>
      <c r="C48" s="125">
        <v>45.378151260504204</v>
      </c>
      <c r="D48" s="126">
        <v>31.932773109243694</v>
      </c>
      <c r="E48" s="126">
        <v>13.445378151260504</v>
      </c>
      <c r="F48" s="126">
        <v>30.252100840336134</v>
      </c>
      <c r="G48" s="126">
        <v>11.76470588235294</v>
      </c>
      <c r="H48" s="126">
        <v>10.92436974789916</v>
      </c>
      <c r="I48" s="127">
        <v>21.84873949579832</v>
      </c>
      <c r="J48" s="127">
        <v>4.2016806722689077</v>
      </c>
      <c r="K48" s="126">
        <v>0.84033613445378152</v>
      </c>
      <c r="L48" s="126">
        <v>2.5210084033613445</v>
      </c>
      <c r="M48" s="126">
        <v>0.84033613445378152</v>
      </c>
      <c r="N48" s="127">
        <v>6.7226890756302522</v>
      </c>
      <c r="O48" s="128"/>
      <c r="Q48" s="95" t="str">
        <f>A55</f>
        <v>60～69歳(n = 352 )　　</v>
      </c>
      <c r="R48" s="88">
        <f t="shared" ref="R48:AC48" si="24">C56</f>
        <v>52.272727272727273</v>
      </c>
      <c r="S48" s="89">
        <f t="shared" si="24"/>
        <v>56.25</v>
      </c>
      <c r="T48" s="89">
        <f t="shared" si="24"/>
        <v>59.659090909090907</v>
      </c>
      <c r="U48" s="89">
        <f t="shared" si="24"/>
        <v>26.988636363636363</v>
      </c>
      <c r="V48" s="89">
        <f t="shared" si="24"/>
        <v>11.363636363636363</v>
      </c>
      <c r="W48" s="89">
        <f t="shared" si="24"/>
        <v>9.375</v>
      </c>
      <c r="X48" s="90">
        <f t="shared" si="24"/>
        <v>3.4090909090909087</v>
      </c>
      <c r="Y48" s="90">
        <f t="shared" si="24"/>
        <v>5.9659090909090908</v>
      </c>
      <c r="Z48" s="89">
        <f t="shared" si="24"/>
        <v>6.8181818181818175</v>
      </c>
      <c r="AA48" s="90">
        <f t="shared" si="24"/>
        <v>3.9772727272727271</v>
      </c>
      <c r="AB48" s="89">
        <f t="shared" si="24"/>
        <v>2.2727272727272729</v>
      </c>
      <c r="AC48" s="91">
        <f t="shared" si="24"/>
        <v>1.9886363636363635</v>
      </c>
    </row>
    <row r="49" spans="1:29" ht="13.5" customHeight="1" x14ac:dyDescent="0.2">
      <c r="A49" s="269" t="str">
        <f>A29</f>
        <v>30～39歳(n = 196 )　　</v>
      </c>
      <c r="B49" s="113">
        <f t="shared" si="18"/>
        <v>196</v>
      </c>
      <c r="C49" s="129">
        <v>78</v>
      </c>
      <c r="D49" s="130">
        <v>75</v>
      </c>
      <c r="E49" s="130">
        <v>37</v>
      </c>
      <c r="F49" s="130">
        <v>97</v>
      </c>
      <c r="G49" s="130">
        <v>10</v>
      </c>
      <c r="H49" s="130">
        <v>21</v>
      </c>
      <c r="I49" s="140">
        <v>46</v>
      </c>
      <c r="J49" s="140">
        <v>23</v>
      </c>
      <c r="K49" s="130">
        <v>8</v>
      </c>
      <c r="L49" s="130">
        <v>5</v>
      </c>
      <c r="M49" s="130">
        <v>2</v>
      </c>
      <c r="N49" s="140">
        <v>6</v>
      </c>
      <c r="O49" s="131"/>
      <c r="Q49" s="94" t="str">
        <f>A57</f>
        <v>70歳以上(n = 315 )　　</v>
      </c>
      <c r="R49" s="78">
        <f t="shared" ref="R49:AC49" si="25">C58</f>
        <v>61.587301587301589</v>
      </c>
      <c r="S49" s="79">
        <f t="shared" si="25"/>
        <v>54.603174603174601</v>
      </c>
      <c r="T49" s="79">
        <f t="shared" si="25"/>
        <v>71.111111111111114</v>
      </c>
      <c r="U49" s="79">
        <f t="shared" si="25"/>
        <v>11.111111111111111</v>
      </c>
      <c r="V49" s="79">
        <f t="shared" si="25"/>
        <v>18.095238095238095</v>
      </c>
      <c r="W49" s="79">
        <f t="shared" si="25"/>
        <v>13.015873015873018</v>
      </c>
      <c r="X49" s="80">
        <f t="shared" si="25"/>
        <v>0.63492063492063489</v>
      </c>
      <c r="Y49" s="80">
        <f t="shared" si="25"/>
        <v>1.9047619047619049</v>
      </c>
      <c r="Z49" s="79">
        <f t="shared" si="25"/>
        <v>14.285714285714285</v>
      </c>
      <c r="AA49" s="80">
        <f t="shared" si="25"/>
        <v>6.0317460317460316</v>
      </c>
      <c r="AB49" s="79">
        <f t="shared" si="25"/>
        <v>3.8095238095238098</v>
      </c>
      <c r="AC49" s="81">
        <f t="shared" si="25"/>
        <v>1.2698412698412698</v>
      </c>
    </row>
    <row r="50" spans="1:29" x14ac:dyDescent="0.2">
      <c r="A50" s="270"/>
      <c r="B50" s="114">
        <f t="shared" si="18"/>
        <v>12.128712871287128</v>
      </c>
      <c r="C50" s="125">
        <v>39.795918367346935</v>
      </c>
      <c r="D50" s="126">
        <v>38.265306122448976</v>
      </c>
      <c r="E50" s="126">
        <v>18.877551020408163</v>
      </c>
      <c r="F50" s="126">
        <v>49.489795918367349</v>
      </c>
      <c r="G50" s="126">
        <v>5.1020408163265305</v>
      </c>
      <c r="H50" s="126">
        <v>10.714285714285714</v>
      </c>
      <c r="I50" s="127">
        <v>23.469387755102041</v>
      </c>
      <c r="J50" s="127">
        <v>11.73469387755102</v>
      </c>
      <c r="K50" s="126">
        <v>4.0816326530612246</v>
      </c>
      <c r="L50" s="126">
        <v>2.5510204081632653</v>
      </c>
      <c r="M50" s="126">
        <v>1.0204081632653061</v>
      </c>
      <c r="N50" s="127">
        <v>3.0612244897959182</v>
      </c>
      <c r="O50" s="128"/>
    </row>
    <row r="51" spans="1:29" ht="13.5" customHeight="1" x14ac:dyDescent="0.2">
      <c r="A51" s="269" t="str">
        <f>A31</f>
        <v>40～49歳(n = 281 )　　</v>
      </c>
      <c r="B51" s="113">
        <f t="shared" si="18"/>
        <v>281</v>
      </c>
      <c r="C51" s="129">
        <v>116</v>
      </c>
      <c r="D51" s="130">
        <v>123</v>
      </c>
      <c r="E51" s="130">
        <v>98</v>
      </c>
      <c r="F51" s="130">
        <v>120</v>
      </c>
      <c r="G51" s="130">
        <v>26</v>
      </c>
      <c r="H51" s="130">
        <v>32</v>
      </c>
      <c r="I51" s="140">
        <v>30</v>
      </c>
      <c r="J51" s="140">
        <v>35</v>
      </c>
      <c r="K51" s="130">
        <v>11</v>
      </c>
      <c r="L51" s="130">
        <v>13</v>
      </c>
      <c r="M51" s="130">
        <v>4</v>
      </c>
      <c r="N51" s="140">
        <v>10</v>
      </c>
      <c r="O51" s="131"/>
    </row>
    <row r="52" spans="1:29" x14ac:dyDescent="0.2">
      <c r="A52" s="270"/>
      <c r="B52" s="114">
        <f t="shared" si="18"/>
        <v>17.388613861386137</v>
      </c>
      <c r="C52" s="125">
        <v>41.281138790035584</v>
      </c>
      <c r="D52" s="126">
        <v>43.772241992882563</v>
      </c>
      <c r="E52" s="126">
        <v>34.87544483985765</v>
      </c>
      <c r="F52" s="126">
        <v>42.704626334519574</v>
      </c>
      <c r="G52" s="126">
        <v>9.252669039145907</v>
      </c>
      <c r="H52" s="126">
        <v>11.387900355871885</v>
      </c>
      <c r="I52" s="127">
        <v>10.676156583629894</v>
      </c>
      <c r="J52" s="127">
        <v>12.455516014234876</v>
      </c>
      <c r="K52" s="126">
        <v>3.9145907473309607</v>
      </c>
      <c r="L52" s="126">
        <v>4.6263345195729535</v>
      </c>
      <c r="M52" s="126">
        <v>1.4234875444839856</v>
      </c>
      <c r="N52" s="127">
        <v>3.5587188612099649</v>
      </c>
      <c r="O52" s="128"/>
    </row>
    <row r="53" spans="1:29" ht="13.5" customHeight="1" x14ac:dyDescent="0.2">
      <c r="A53" s="269" t="str">
        <f>A33</f>
        <v>50～59歳(n = 320 )　　</v>
      </c>
      <c r="B53" s="113">
        <f t="shared" si="18"/>
        <v>320</v>
      </c>
      <c r="C53" s="129">
        <v>158</v>
      </c>
      <c r="D53" s="130">
        <v>149</v>
      </c>
      <c r="E53" s="130">
        <v>146</v>
      </c>
      <c r="F53" s="130">
        <v>104</v>
      </c>
      <c r="G53" s="130">
        <v>31</v>
      </c>
      <c r="H53" s="130">
        <v>28</v>
      </c>
      <c r="I53" s="140">
        <v>18</v>
      </c>
      <c r="J53" s="140">
        <v>29</v>
      </c>
      <c r="K53" s="130">
        <v>27</v>
      </c>
      <c r="L53" s="130">
        <v>13</v>
      </c>
      <c r="M53" s="130">
        <v>7</v>
      </c>
      <c r="N53" s="140">
        <v>9</v>
      </c>
      <c r="O53" s="131"/>
    </row>
    <row r="54" spans="1:29" x14ac:dyDescent="0.2">
      <c r="A54" s="270"/>
      <c r="B54" s="114">
        <f t="shared" si="18"/>
        <v>19.801980198019802</v>
      </c>
      <c r="C54" s="125">
        <v>49.375</v>
      </c>
      <c r="D54" s="126">
        <v>46.5625</v>
      </c>
      <c r="E54" s="126">
        <v>45.625</v>
      </c>
      <c r="F54" s="126">
        <v>32.5</v>
      </c>
      <c r="G54" s="126">
        <v>9.6875</v>
      </c>
      <c r="H54" s="126">
        <v>8.75</v>
      </c>
      <c r="I54" s="127">
        <v>5.625</v>
      </c>
      <c r="J54" s="127">
        <v>9.0625</v>
      </c>
      <c r="K54" s="126">
        <v>8.4375</v>
      </c>
      <c r="L54" s="126">
        <v>4.0625</v>
      </c>
      <c r="M54" s="126">
        <v>2.1875</v>
      </c>
      <c r="N54" s="127">
        <v>2.8125</v>
      </c>
      <c r="O54" s="128"/>
    </row>
    <row r="55" spans="1:29" ht="13.5" customHeight="1" x14ac:dyDescent="0.2">
      <c r="A55" s="269" t="str">
        <f>A35</f>
        <v>60～69歳(n = 352 )　　</v>
      </c>
      <c r="B55" s="113">
        <f t="shared" si="18"/>
        <v>352</v>
      </c>
      <c r="C55" s="129">
        <v>184</v>
      </c>
      <c r="D55" s="130">
        <v>198</v>
      </c>
      <c r="E55" s="130">
        <v>210</v>
      </c>
      <c r="F55" s="130">
        <v>95</v>
      </c>
      <c r="G55" s="130">
        <v>40</v>
      </c>
      <c r="H55" s="130">
        <v>33</v>
      </c>
      <c r="I55" s="140">
        <v>12</v>
      </c>
      <c r="J55" s="140">
        <v>21</v>
      </c>
      <c r="K55" s="130">
        <v>24</v>
      </c>
      <c r="L55" s="130">
        <v>14</v>
      </c>
      <c r="M55" s="130">
        <v>8</v>
      </c>
      <c r="N55" s="140">
        <v>7</v>
      </c>
      <c r="O55" s="131"/>
    </row>
    <row r="56" spans="1:29" x14ac:dyDescent="0.2">
      <c r="A56" s="270"/>
      <c r="B56" s="114">
        <f t="shared" si="18"/>
        <v>21.782178217821784</v>
      </c>
      <c r="C56" s="125">
        <v>52.272727272727273</v>
      </c>
      <c r="D56" s="126">
        <v>56.25</v>
      </c>
      <c r="E56" s="126">
        <v>59.659090909090907</v>
      </c>
      <c r="F56" s="126">
        <v>26.988636363636363</v>
      </c>
      <c r="G56" s="126">
        <v>11.363636363636363</v>
      </c>
      <c r="H56" s="126">
        <v>9.375</v>
      </c>
      <c r="I56" s="127">
        <v>3.4090909090909087</v>
      </c>
      <c r="J56" s="127">
        <v>5.9659090909090908</v>
      </c>
      <c r="K56" s="126">
        <v>6.8181818181818175</v>
      </c>
      <c r="L56" s="126">
        <v>3.9772727272727271</v>
      </c>
      <c r="M56" s="126">
        <v>2.2727272727272729</v>
      </c>
      <c r="N56" s="127">
        <v>1.9886363636363635</v>
      </c>
      <c r="O56" s="128"/>
    </row>
    <row r="57" spans="1:29" ht="13.5" customHeight="1" x14ac:dyDescent="0.2">
      <c r="A57" s="269" t="str">
        <f>A37</f>
        <v>70歳以上(n = 315 )　　</v>
      </c>
      <c r="B57" s="113">
        <f t="shared" si="18"/>
        <v>315</v>
      </c>
      <c r="C57" s="129">
        <v>194</v>
      </c>
      <c r="D57" s="130">
        <v>172</v>
      </c>
      <c r="E57" s="130">
        <v>224</v>
      </c>
      <c r="F57" s="130">
        <v>35</v>
      </c>
      <c r="G57" s="130">
        <v>57</v>
      </c>
      <c r="H57" s="130">
        <v>41</v>
      </c>
      <c r="I57" s="140">
        <v>2</v>
      </c>
      <c r="J57" s="140">
        <v>6</v>
      </c>
      <c r="K57" s="130">
        <v>45</v>
      </c>
      <c r="L57" s="130">
        <v>19</v>
      </c>
      <c r="M57" s="130">
        <v>12</v>
      </c>
      <c r="N57" s="140">
        <v>4</v>
      </c>
      <c r="O57" s="131"/>
    </row>
    <row r="58" spans="1:29" x14ac:dyDescent="0.2">
      <c r="A58" s="270"/>
      <c r="B58" s="114">
        <f t="shared" si="18"/>
        <v>19.492574257425744</v>
      </c>
      <c r="C58" s="125">
        <v>61.587301587301589</v>
      </c>
      <c r="D58" s="126">
        <v>54.603174603174601</v>
      </c>
      <c r="E58" s="126">
        <v>71.111111111111114</v>
      </c>
      <c r="F58" s="126">
        <v>11.111111111111111</v>
      </c>
      <c r="G58" s="126">
        <v>18.095238095238095</v>
      </c>
      <c r="H58" s="126">
        <v>13.015873015873018</v>
      </c>
      <c r="I58" s="127">
        <v>0.63492063492063489</v>
      </c>
      <c r="J58" s="127">
        <v>1.9047619047619049</v>
      </c>
      <c r="K58" s="126">
        <v>14.285714285714285</v>
      </c>
      <c r="L58" s="126">
        <v>6.0317460317460316</v>
      </c>
      <c r="M58" s="126">
        <v>3.8095238095238098</v>
      </c>
      <c r="N58" s="127">
        <v>1.2698412698412698</v>
      </c>
      <c r="O58" s="128"/>
    </row>
    <row r="61" spans="1:29" x14ac:dyDescent="0.2">
      <c r="A61" s="3" t="s">
        <v>293</v>
      </c>
      <c r="B61" s="1" t="str">
        <f>B21</f>
        <v>施策や事業についての情報の入手方法</v>
      </c>
      <c r="C61" s="8"/>
      <c r="D61" s="9"/>
      <c r="E61" s="8"/>
      <c r="F61" s="8"/>
      <c r="G61" s="8"/>
      <c r="H61" s="9" t="s">
        <v>1</v>
      </c>
      <c r="I61" s="8"/>
      <c r="J61" s="8"/>
      <c r="K61" s="8"/>
      <c r="L61" s="8"/>
      <c r="M61" s="8"/>
      <c r="N61" s="8"/>
    </row>
    <row r="62" spans="1:29" ht="101.25" customHeight="1" x14ac:dyDescent="0.2">
      <c r="A62" s="13" t="s">
        <v>27</v>
      </c>
      <c r="B62" s="59" t="str">
        <f>B22</f>
        <v>調査数</v>
      </c>
      <c r="C62" s="60" t="s">
        <v>290</v>
      </c>
      <c r="D62" s="61" t="s">
        <v>289</v>
      </c>
      <c r="E62" s="61" t="s">
        <v>291</v>
      </c>
      <c r="F62" s="61" t="s">
        <v>287</v>
      </c>
      <c r="G62" s="61" t="s">
        <v>283</v>
      </c>
      <c r="H62" s="61" t="s">
        <v>284</v>
      </c>
      <c r="I62" s="62" t="s">
        <v>282</v>
      </c>
      <c r="J62" s="61" t="s">
        <v>288</v>
      </c>
      <c r="K62" s="61" t="s">
        <v>285</v>
      </c>
      <c r="L62" s="61" t="s">
        <v>201</v>
      </c>
      <c r="M62" s="62" t="s">
        <v>286</v>
      </c>
      <c r="N62" s="61" t="s">
        <v>101</v>
      </c>
      <c r="O62" s="63"/>
      <c r="P62" s="225" t="s">
        <v>118</v>
      </c>
    </row>
    <row r="63" spans="1:29" ht="13.5" customHeight="1" x14ac:dyDescent="0.2">
      <c r="A63" s="269" t="str">
        <f>A43</f>
        <v>全体(n = 1,616 )　　</v>
      </c>
      <c r="B63" s="227" t="str">
        <f>B3</f>
        <v>1,616</v>
      </c>
      <c r="C63" s="31">
        <f t="shared" ref="C63:N63" si="26">SUM(C65,C67,C69,C71,C73)</f>
        <v>753</v>
      </c>
      <c r="D63" s="32">
        <f t="shared" si="26"/>
        <v>724</v>
      </c>
      <c r="E63" s="32">
        <f t="shared" si="26"/>
        <v>784</v>
      </c>
      <c r="F63" s="32">
        <f t="shared" si="26"/>
        <v>179</v>
      </c>
      <c r="G63" s="32">
        <f t="shared" si="26"/>
        <v>65</v>
      </c>
      <c r="H63" s="32">
        <f t="shared" si="26"/>
        <v>115</v>
      </c>
      <c r="I63" s="32">
        <f t="shared" si="26"/>
        <v>34</v>
      </c>
      <c r="J63" s="32">
        <f t="shared" si="26"/>
        <v>491</v>
      </c>
      <c r="K63" s="32">
        <f t="shared" si="26"/>
        <v>119</v>
      </c>
      <c r="L63" s="32">
        <f t="shared" si="26"/>
        <v>134</v>
      </c>
      <c r="M63" s="32">
        <f t="shared" si="26"/>
        <v>169</v>
      </c>
      <c r="N63" s="32">
        <f t="shared" si="26"/>
        <v>45</v>
      </c>
      <c r="O63" s="33"/>
      <c r="P63" s="5">
        <f>SUM($C63:O63)</f>
        <v>3612</v>
      </c>
    </row>
    <row r="64" spans="1:29" x14ac:dyDescent="0.2">
      <c r="A64" s="270"/>
      <c r="B64" s="35">
        <v>100</v>
      </c>
      <c r="C64" s="20">
        <v>44.558918222794588</v>
      </c>
      <c r="D64" s="207">
        <v>50.482936252414682</v>
      </c>
      <c r="E64" s="207">
        <v>54.024468770122347</v>
      </c>
      <c r="F64" s="207">
        <v>11.976819059884097</v>
      </c>
      <c r="G64" s="207">
        <v>4.7005795235028982</v>
      </c>
      <c r="H64" s="207">
        <v>6.374758531873792</v>
      </c>
      <c r="I64" s="207">
        <v>1.9317450096587252</v>
      </c>
      <c r="J64" s="207">
        <v>28.654217643271089</v>
      </c>
      <c r="K64" s="207">
        <v>7.7269800386349008</v>
      </c>
      <c r="L64" s="207">
        <v>8.1777205408886022</v>
      </c>
      <c r="M64" s="207">
        <v>9.2723760463618792</v>
      </c>
      <c r="N64" s="207">
        <v>2.2537025112685125</v>
      </c>
      <c r="O64" s="208"/>
      <c r="P64" s="195"/>
    </row>
    <row r="65" spans="1:29" ht="13.5" customHeight="1" x14ac:dyDescent="0.2">
      <c r="A65" s="273" t="str">
        <f>"岐阜圏域(n = "&amp;B65&amp;" )　　"</f>
        <v>岐阜圏域(n = 617 )　　</v>
      </c>
      <c r="B65" s="34">
        <v>617</v>
      </c>
      <c r="C65" s="31">
        <v>340</v>
      </c>
      <c r="D65" s="32">
        <v>275</v>
      </c>
      <c r="E65" s="32">
        <v>281</v>
      </c>
      <c r="F65" s="32">
        <v>55</v>
      </c>
      <c r="G65" s="32">
        <v>22</v>
      </c>
      <c r="H65" s="32">
        <v>39</v>
      </c>
      <c r="I65" s="32">
        <v>13</v>
      </c>
      <c r="J65" s="32">
        <v>196</v>
      </c>
      <c r="K65" s="32">
        <v>50</v>
      </c>
      <c r="L65" s="32">
        <v>53</v>
      </c>
      <c r="M65" s="32">
        <v>77</v>
      </c>
      <c r="N65" s="32">
        <v>20</v>
      </c>
      <c r="O65" s="33"/>
      <c r="P65" s="5">
        <f>SUM($C65:O65)</f>
        <v>1421</v>
      </c>
      <c r="Q65" t="str">
        <f>" 岐阜圏域（N = "&amp;P66&amp;" : n = "&amp;B65&amp;"）"</f>
        <v xml:space="preserve"> 岐阜圏域（N = 1,421 : n = 617）</v>
      </c>
    </row>
    <row r="66" spans="1:29" x14ac:dyDescent="0.2">
      <c r="A66" s="274"/>
      <c r="B66" s="35">
        <f>B65/$B$63*100</f>
        <v>38.180693069306933</v>
      </c>
      <c r="C66" s="20">
        <f t="shared" ref="C66:N66" si="27">C65/$B$65*100</f>
        <v>55.105348460291737</v>
      </c>
      <c r="D66" s="207">
        <f t="shared" si="27"/>
        <v>44.570502431118314</v>
      </c>
      <c r="E66" s="207">
        <f t="shared" si="27"/>
        <v>45.54294975688817</v>
      </c>
      <c r="F66" s="207">
        <f t="shared" si="27"/>
        <v>8.9141004862236617</v>
      </c>
      <c r="G66" s="207">
        <f t="shared" si="27"/>
        <v>3.5656401944894651</v>
      </c>
      <c r="H66" s="207">
        <f t="shared" si="27"/>
        <v>6.3209076175040515</v>
      </c>
      <c r="I66" s="207">
        <f t="shared" si="27"/>
        <v>2.1069692058346838</v>
      </c>
      <c r="J66" s="207">
        <f t="shared" si="27"/>
        <v>31.766612641815232</v>
      </c>
      <c r="K66" s="207">
        <f t="shared" si="27"/>
        <v>8.1037277147487838</v>
      </c>
      <c r="L66" s="207">
        <f t="shared" si="27"/>
        <v>8.589951377633712</v>
      </c>
      <c r="M66" s="207">
        <f t="shared" si="27"/>
        <v>12.479740680713128</v>
      </c>
      <c r="N66" s="207">
        <f t="shared" si="27"/>
        <v>3.2414910858995136</v>
      </c>
      <c r="O66" s="208"/>
      <c r="P66" s="204" t="s">
        <v>292</v>
      </c>
    </row>
    <row r="67" spans="1:29" ht="13.5" customHeight="1" x14ac:dyDescent="0.2">
      <c r="A67" s="273" t="str">
        <f>"西濃圏域(n = "&amp;B67&amp;" )　　"</f>
        <v>西濃圏域(n = 290 )　　</v>
      </c>
      <c r="B67" s="34">
        <v>290</v>
      </c>
      <c r="C67" s="31">
        <v>122</v>
      </c>
      <c r="D67" s="32">
        <v>145</v>
      </c>
      <c r="E67" s="32">
        <v>147</v>
      </c>
      <c r="F67" s="32">
        <v>34</v>
      </c>
      <c r="G67" s="32">
        <v>6</v>
      </c>
      <c r="H67" s="32">
        <v>23</v>
      </c>
      <c r="I67" s="32">
        <v>5</v>
      </c>
      <c r="J67" s="32">
        <v>99</v>
      </c>
      <c r="K67" s="32">
        <v>21</v>
      </c>
      <c r="L67" s="32">
        <v>25</v>
      </c>
      <c r="M67" s="32">
        <v>28</v>
      </c>
      <c r="N67" s="32">
        <v>7</v>
      </c>
      <c r="O67" s="33"/>
      <c r="P67" s="5">
        <f>SUM($C67:O67)</f>
        <v>662</v>
      </c>
      <c r="Q67" t="str">
        <f>" 西濃圏域（N = "&amp;P67&amp;" : n = "&amp;B67&amp;"）"</f>
        <v xml:space="preserve"> 西濃圏域（N = 662 : n = 290）</v>
      </c>
    </row>
    <row r="68" spans="1:29" x14ac:dyDescent="0.2">
      <c r="A68" s="274"/>
      <c r="B68" s="35">
        <f>B67/$B$63*100</f>
        <v>17.945544554455445</v>
      </c>
      <c r="C68" s="20">
        <f t="shared" ref="C68:N68" si="28">C67/$B$67*100</f>
        <v>42.068965517241381</v>
      </c>
      <c r="D68" s="207">
        <f t="shared" si="28"/>
        <v>50</v>
      </c>
      <c r="E68" s="207">
        <f t="shared" si="28"/>
        <v>50.689655172413794</v>
      </c>
      <c r="F68" s="207">
        <f t="shared" si="28"/>
        <v>11.724137931034482</v>
      </c>
      <c r="G68" s="207">
        <f t="shared" si="28"/>
        <v>2.0689655172413794</v>
      </c>
      <c r="H68" s="207">
        <f t="shared" si="28"/>
        <v>7.931034482758621</v>
      </c>
      <c r="I68" s="207">
        <f t="shared" si="28"/>
        <v>1.7241379310344827</v>
      </c>
      <c r="J68" s="207">
        <f t="shared" si="28"/>
        <v>34.137931034482762</v>
      </c>
      <c r="K68" s="207">
        <f t="shared" si="28"/>
        <v>7.2413793103448283</v>
      </c>
      <c r="L68" s="207">
        <f t="shared" si="28"/>
        <v>8.6206896551724146</v>
      </c>
      <c r="M68" s="207">
        <f t="shared" si="28"/>
        <v>9.6551724137931032</v>
      </c>
      <c r="N68" s="207">
        <f t="shared" si="28"/>
        <v>2.4137931034482758</v>
      </c>
      <c r="O68" s="208"/>
      <c r="P68" s="195"/>
    </row>
    <row r="69" spans="1:29" ht="13.5" customHeight="1" x14ac:dyDescent="0.2">
      <c r="A69" s="273" t="str">
        <f>"中濃圏域(n = "&amp;B69&amp;" )　　"</f>
        <v>中濃圏域(n = 300 )　　</v>
      </c>
      <c r="B69" s="34">
        <v>300</v>
      </c>
      <c r="C69" s="31">
        <v>122</v>
      </c>
      <c r="D69" s="32">
        <v>144</v>
      </c>
      <c r="E69" s="32">
        <v>162</v>
      </c>
      <c r="F69" s="32">
        <v>38</v>
      </c>
      <c r="G69" s="32">
        <v>20</v>
      </c>
      <c r="H69" s="32">
        <v>19</v>
      </c>
      <c r="I69" s="32">
        <v>4</v>
      </c>
      <c r="J69" s="32">
        <v>91</v>
      </c>
      <c r="K69" s="32">
        <v>22</v>
      </c>
      <c r="L69" s="32">
        <v>33</v>
      </c>
      <c r="M69" s="32">
        <v>26</v>
      </c>
      <c r="N69" s="32">
        <v>6</v>
      </c>
      <c r="O69" s="33"/>
      <c r="P69" s="5">
        <f>SUM($C69:O69)</f>
        <v>687</v>
      </c>
      <c r="Q69" t="str">
        <f>" 中濃圏域（N = "&amp;P69&amp;" : n = "&amp;B69&amp;"）"</f>
        <v xml:space="preserve"> 中濃圏域（N = 687 : n = 300）</v>
      </c>
    </row>
    <row r="70" spans="1:29" x14ac:dyDescent="0.2">
      <c r="A70" s="274"/>
      <c r="B70" s="35">
        <f>B69/$B$63*100</f>
        <v>18.564356435643564</v>
      </c>
      <c r="C70" s="20">
        <f t="shared" ref="C70:N70" si="29">C69/$B$69*100</f>
        <v>40.666666666666664</v>
      </c>
      <c r="D70" s="207">
        <f t="shared" si="29"/>
        <v>48</v>
      </c>
      <c r="E70" s="207">
        <f t="shared" si="29"/>
        <v>54</v>
      </c>
      <c r="F70" s="207">
        <f t="shared" si="29"/>
        <v>12.666666666666668</v>
      </c>
      <c r="G70" s="207">
        <f t="shared" si="29"/>
        <v>6.666666666666667</v>
      </c>
      <c r="H70" s="207">
        <f t="shared" si="29"/>
        <v>6.3333333333333339</v>
      </c>
      <c r="I70" s="207">
        <f t="shared" si="29"/>
        <v>1.3333333333333335</v>
      </c>
      <c r="J70" s="207">
        <f t="shared" si="29"/>
        <v>30.333333333333336</v>
      </c>
      <c r="K70" s="207">
        <f t="shared" si="29"/>
        <v>7.333333333333333</v>
      </c>
      <c r="L70" s="207">
        <f t="shared" si="29"/>
        <v>11</v>
      </c>
      <c r="M70" s="207">
        <f t="shared" si="29"/>
        <v>8.6666666666666679</v>
      </c>
      <c r="N70" s="207">
        <f t="shared" si="29"/>
        <v>2</v>
      </c>
      <c r="O70" s="208"/>
      <c r="P70" s="195"/>
    </row>
    <row r="71" spans="1:29" ht="13.5" customHeight="1" x14ac:dyDescent="0.2">
      <c r="A71" s="273" t="str">
        <f>"東濃圏域(n = "&amp;B71&amp;" )　　"</f>
        <v>東濃圏域(n = 271 )　　</v>
      </c>
      <c r="B71" s="34">
        <v>271</v>
      </c>
      <c r="C71" s="31">
        <v>128</v>
      </c>
      <c r="D71" s="32">
        <v>113</v>
      </c>
      <c r="E71" s="32">
        <v>132</v>
      </c>
      <c r="F71" s="32">
        <v>35</v>
      </c>
      <c r="G71" s="32">
        <v>12</v>
      </c>
      <c r="H71" s="32">
        <v>25</v>
      </c>
      <c r="I71" s="32">
        <v>7</v>
      </c>
      <c r="J71" s="32">
        <v>70</v>
      </c>
      <c r="K71" s="32">
        <v>17</v>
      </c>
      <c r="L71" s="32">
        <v>15</v>
      </c>
      <c r="M71" s="32">
        <v>27</v>
      </c>
      <c r="N71" s="32">
        <v>7</v>
      </c>
      <c r="O71" s="33"/>
      <c r="P71" s="5">
        <f>SUM($C71:O71)</f>
        <v>588</v>
      </c>
      <c r="Q71" t="str">
        <f>" 東濃圏域（N = "&amp;P71&amp;" : n = "&amp;B71&amp;"）"</f>
        <v xml:space="preserve"> 東濃圏域（N = 588 : n = 271）</v>
      </c>
    </row>
    <row r="72" spans="1:29" x14ac:dyDescent="0.2">
      <c r="A72" s="274"/>
      <c r="B72" s="35">
        <f>B71/$B$63*100</f>
        <v>16.769801980198022</v>
      </c>
      <c r="C72" s="20">
        <f t="shared" ref="C72:N72" si="30">C71/$B$71*100</f>
        <v>47.232472324723247</v>
      </c>
      <c r="D72" s="207">
        <f t="shared" si="30"/>
        <v>41.697416974169741</v>
      </c>
      <c r="E72" s="207">
        <f t="shared" si="30"/>
        <v>48.708487084870846</v>
      </c>
      <c r="F72" s="207">
        <f t="shared" si="30"/>
        <v>12.915129151291513</v>
      </c>
      <c r="G72" s="207">
        <f t="shared" si="30"/>
        <v>4.428044280442804</v>
      </c>
      <c r="H72" s="207">
        <f t="shared" si="30"/>
        <v>9.2250922509225095</v>
      </c>
      <c r="I72" s="207">
        <f t="shared" si="30"/>
        <v>2.5830258302583027</v>
      </c>
      <c r="J72" s="207">
        <f t="shared" si="30"/>
        <v>25.830258302583026</v>
      </c>
      <c r="K72" s="207">
        <f t="shared" si="30"/>
        <v>6.2730627306273057</v>
      </c>
      <c r="L72" s="207">
        <f t="shared" si="30"/>
        <v>5.5350553505535052</v>
      </c>
      <c r="M72" s="207">
        <f t="shared" si="30"/>
        <v>9.9630996309963091</v>
      </c>
      <c r="N72" s="207">
        <f t="shared" si="30"/>
        <v>2.5830258302583027</v>
      </c>
      <c r="O72" s="208"/>
      <c r="P72" s="195"/>
    </row>
    <row r="73" spans="1:29" ht="13.5" customHeight="1" x14ac:dyDescent="0.2">
      <c r="A73" s="273" t="str">
        <f>"飛騨圏域(n = "&amp;B73&amp;" )　　"</f>
        <v>飛騨圏域(n = 106 )　　</v>
      </c>
      <c r="B73" s="34">
        <v>106</v>
      </c>
      <c r="C73" s="31">
        <v>41</v>
      </c>
      <c r="D73" s="32">
        <v>47</v>
      </c>
      <c r="E73" s="32">
        <v>62</v>
      </c>
      <c r="F73" s="32">
        <v>17</v>
      </c>
      <c r="G73" s="32">
        <v>5</v>
      </c>
      <c r="H73" s="32">
        <v>9</v>
      </c>
      <c r="I73" s="32">
        <v>5</v>
      </c>
      <c r="J73" s="32">
        <v>35</v>
      </c>
      <c r="K73" s="32">
        <v>9</v>
      </c>
      <c r="L73" s="32">
        <v>8</v>
      </c>
      <c r="M73" s="32">
        <v>11</v>
      </c>
      <c r="N73" s="32">
        <v>5</v>
      </c>
      <c r="O73" s="33"/>
      <c r="P73" s="5">
        <f>SUM($C73:O73)</f>
        <v>254</v>
      </c>
      <c r="Q73" t="str">
        <f>" 飛騨圏域（N = "&amp;P73&amp;" : n = "&amp;B73&amp;"）"</f>
        <v xml:space="preserve"> 飛騨圏域（N = 254 : n = 106）</v>
      </c>
    </row>
    <row r="74" spans="1:29" x14ac:dyDescent="0.2">
      <c r="A74" s="274"/>
      <c r="B74" s="35">
        <f>B73/$B$63*100</f>
        <v>6.5594059405940595</v>
      </c>
      <c r="C74" s="20">
        <f t="shared" ref="C74:N74" si="31">C73/$B$73*100</f>
        <v>38.679245283018872</v>
      </c>
      <c r="D74" s="207">
        <f t="shared" si="31"/>
        <v>44.339622641509436</v>
      </c>
      <c r="E74" s="207">
        <f t="shared" si="31"/>
        <v>58.490566037735846</v>
      </c>
      <c r="F74" s="207">
        <f t="shared" si="31"/>
        <v>16.037735849056602</v>
      </c>
      <c r="G74" s="207">
        <f t="shared" si="31"/>
        <v>4.716981132075472</v>
      </c>
      <c r="H74" s="207">
        <f t="shared" si="31"/>
        <v>8.4905660377358494</v>
      </c>
      <c r="I74" s="207">
        <f t="shared" si="31"/>
        <v>4.716981132075472</v>
      </c>
      <c r="J74" s="207">
        <f t="shared" si="31"/>
        <v>33.018867924528301</v>
      </c>
      <c r="K74" s="207">
        <f t="shared" si="31"/>
        <v>8.4905660377358494</v>
      </c>
      <c r="L74" s="207">
        <f t="shared" si="31"/>
        <v>7.5471698113207548</v>
      </c>
      <c r="M74" s="207">
        <f t="shared" si="31"/>
        <v>10.377358490566039</v>
      </c>
      <c r="N74" s="207">
        <f t="shared" si="31"/>
        <v>4.716981132075472</v>
      </c>
      <c r="O74" s="208"/>
      <c r="P74" s="195"/>
    </row>
    <row r="75" spans="1:29" s="186" customFormat="1" x14ac:dyDescent="0.2">
      <c r="A75" s="184"/>
      <c r="B75" s="182"/>
      <c r="C75" s="182">
        <v>3</v>
      </c>
      <c r="D75" s="182">
        <v>2</v>
      </c>
      <c r="E75" s="182">
        <v>1</v>
      </c>
      <c r="F75" s="182">
        <v>5</v>
      </c>
      <c r="G75" s="182">
        <v>10</v>
      </c>
      <c r="H75" s="182">
        <v>9</v>
      </c>
      <c r="I75" s="182">
        <v>11</v>
      </c>
      <c r="J75" s="182">
        <v>4</v>
      </c>
      <c r="K75" s="182">
        <v>8</v>
      </c>
      <c r="L75" s="182">
        <v>7</v>
      </c>
      <c r="M75" s="182">
        <v>6</v>
      </c>
      <c r="N75" s="182"/>
      <c r="O75" s="182"/>
      <c r="P75" s="226"/>
    </row>
    <row r="76" spans="1:29" x14ac:dyDescent="0.2">
      <c r="A76" s="26" t="s">
        <v>2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5"/>
    </row>
    <row r="77" spans="1:29" ht="12.75" customHeight="1" x14ac:dyDescent="0.2">
      <c r="A77" s="6" t="s">
        <v>4</v>
      </c>
      <c r="B77" s="4"/>
      <c r="C77" s="27">
        <f t="shared" ref="C77:M77" si="32">_xlfn.RANK.EQ(C80,$C$80:$M$80)</f>
        <v>1</v>
      </c>
      <c r="D77" s="27">
        <f t="shared" si="32"/>
        <v>3</v>
      </c>
      <c r="E77" s="27">
        <f t="shared" si="32"/>
        <v>2</v>
      </c>
      <c r="F77" s="27">
        <f t="shared" si="32"/>
        <v>4</v>
      </c>
      <c r="G77" s="27">
        <f t="shared" si="32"/>
        <v>5</v>
      </c>
      <c r="H77" s="27">
        <f t="shared" si="32"/>
        <v>6</v>
      </c>
      <c r="I77" s="27">
        <f t="shared" si="32"/>
        <v>7</v>
      </c>
      <c r="J77" s="27">
        <f t="shared" si="32"/>
        <v>8</v>
      </c>
      <c r="K77" s="27">
        <f t="shared" si="32"/>
        <v>9</v>
      </c>
      <c r="L77" s="27">
        <f t="shared" si="32"/>
        <v>10</v>
      </c>
      <c r="M77" s="27">
        <f t="shared" si="32"/>
        <v>11</v>
      </c>
      <c r="N77" s="27">
        <v>12</v>
      </c>
      <c r="O77" s="27">
        <v>13</v>
      </c>
      <c r="Q77" s="45"/>
      <c r="R77" s="27">
        <v>1</v>
      </c>
      <c r="S77" s="27">
        <v>2</v>
      </c>
      <c r="T77" s="27">
        <v>3</v>
      </c>
      <c r="U77" s="27">
        <v>4</v>
      </c>
      <c r="V77" s="27">
        <v>5</v>
      </c>
      <c r="W77" s="27">
        <v>6</v>
      </c>
      <c r="X77" s="27">
        <v>7</v>
      </c>
      <c r="Y77" s="27">
        <v>8</v>
      </c>
      <c r="Z77" s="27">
        <v>9</v>
      </c>
      <c r="AA77" s="27">
        <v>10</v>
      </c>
      <c r="AB77" s="27">
        <v>11</v>
      </c>
      <c r="AC77" s="27">
        <v>12</v>
      </c>
    </row>
    <row r="78" spans="1:29" ht="101.25" customHeight="1" x14ac:dyDescent="0.2">
      <c r="A78" s="12" t="str">
        <f>A62</f>
        <v>【居住圏域別】</v>
      </c>
      <c r="B78" s="59" t="str">
        <f>B42</f>
        <v>調査数</v>
      </c>
      <c r="C78" s="60" t="s">
        <v>291</v>
      </c>
      <c r="D78" s="61" t="s">
        <v>290</v>
      </c>
      <c r="E78" s="61" t="s">
        <v>289</v>
      </c>
      <c r="F78" s="61" t="s">
        <v>288</v>
      </c>
      <c r="G78" s="61" t="s">
        <v>287</v>
      </c>
      <c r="H78" s="61" t="s">
        <v>286</v>
      </c>
      <c r="I78" s="61" t="s">
        <v>201</v>
      </c>
      <c r="J78" s="61" t="s">
        <v>285</v>
      </c>
      <c r="K78" s="61" t="s">
        <v>284</v>
      </c>
      <c r="L78" s="61" t="s">
        <v>283</v>
      </c>
      <c r="M78" s="61" t="s">
        <v>282</v>
      </c>
      <c r="N78" s="61" t="s">
        <v>101</v>
      </c>
      <c r="O78" s="63"/>
      <c r="P78" s="44" t="s">
        <v>32</v>
      </c>
      <c r="Q78" s="12" t="str">
        <f>A78</f>
        <v>【居住圏域別】</v>
      </c>
      <c r="R78" s="60" t="str">
        <f t="shared" ref="R78:AC78" si="33">C78</f>
        <v>テレビ（ニュース）</v>
      </c>
      <c r="S78" s="61" t="str">
        <f t="shared" si="33"/>
        <v>　　　　　　岐阜県広報「岐阜県からのお知らせ」
（市町村広報紙、地域情報誌（フリーペーパー）
　　　　　　　　　又は行政情報アプリなどに掲載）</v>
      </c>
      <c r="T78" s="61" t="str">
        <f t="shared" si="33"/>
        <v>新聞の記事</v>
      </c>
      <c r="U78" s="61" t="str">
        <f t="shared" si="33"/>
        <v>インターネット（ニュース）</v>
      </c>
      <c r="V78" s="61" t="str">
        <f t="shared" si="33"/>
        <v>テレビ（県の広報番組）</v>
      </c>
      <c r="W78" s="61" t="str">
        <f t="shared" si="33"/>
        <v>パンフレット、ポスター</v>
      </c>
      <c r="X78" s="62" t="str">
        <f t="shared" si="33"/>
        <v>　　　フェイスブック、ツイッターなどのSNS
（ソーシャル・ネットワーキング・サービス）</v>
      </c>
      <c r="Y78" s="62" t="str">
        <f t="shared" si="33"/>
        <v>インターネット（岐阜県庁ホームページ）</v>
      </c>
      <c r="Z78" s="61" t="str">
        <f t="shared" si="33"/>
        <v>ラジオ（ニュース）</v>
      </c>
      <c r="AA78" s="62" t="str">
        <f t="shared" si="33"/>
        <v>テレビ（データ放送）</v>
      </c>
      <c r="AB78" s="61" t="str">
        <f t="shared" si="33"/>
        <v>ラジオ（県の広報番組）</v>
      </c>
      <c r="AC78" s="63" t="str">
        <f t="shared" si="33"/>
        <v>その他</v>
      </c>
    </row>
    <row r="79" spans="1:29" ht="12.75" customHeight="1" x14ac:dyDescent="0.2">
      <c r="A79" s="269" t="str">
        <f>A63</f>
        <v>全体(n = 1,616 )　　</v>
      </c>
      <c r="B79" s="224" t="str">
        <f t="shared" ref="B79:B90" si="34">B63</f>
        <v>1,616</v>
      </c>
      <c r="C79" s="121">
        <v>784</v>
      </c>
      <c r="D79" s="122">
        <v>753</v>
      </c>
      <c r="E79" s="122">
        <v>724</v>
      </c>
      <c r="F79" s="122">
        <v>491</v>
      </c>
      <c r="G79" s="122">
        <v>179</v>
      </c>
      <c r="H79" s="122">
        <v>169</v>
      </c>
      <c r="I79" s="123">
        <v>134</v>
      </c>
      <c r="J79" s="122">
        <v>119</v>
      </c>
      <c r="K79" s="122">
        <v>115</v>
      </c>
      <c r="L79" s="122">
        <v>65</v>
      </c>
      <c r="M79" s="122">
        <v>34</v>
      </c>
      <c r="N79" s="123">
        <v>45</v>
      </c>
      <c r="O79" s="124"/>
      <c r="P79" s="166">
        <f>SUM(C79:O79)</f>
        <v>3612</v>
      </c>
      <c r="Q79" s="93" t="str">
        <f>A81</f>
        <v>岐阜圏域(n = 617 )　　</v>
      </c>
      <c r="R79" s="84">
        <f t="shared" ref="R79:AC79" si="35">C82</f>
        <v>45.54294975688817</v>
      </c>
      <c r="S79" s="85">
        <f t="shared" si="35"/>
        <v>55.105348460291737</v>
      </c>
      <c r="T79" s="85">
        <f t="shared" si="35"/>
        <v>44.570502431118314</v>
      </c>
      <c r="U79" s="85">
        <f t="shared" si="35"/>
        <v>31.766612641815232</v>
      </c>
      <c r="V79" s="85">
        <f t="shared" si="35"/>
        <v>8.9141004862236617</v>
      </c>
      <c r="W79" s="85">
        <f t="shared" si="35"/>
        <v>12.479740680713128</v>
      </c>
      <c r="X79" s="86">
        <f t="shared" si="35"/>
        <v>8.589951377633712</v>
      </c>
      <c r="Y79" s="86">
        <f t="shared" si="35"/>
        <v>8.1037277147487838</v>
      </c>
      <c r="Z79" s="85">
        <f t="shared" si="35"/>
        <v>6.3209076175040515</v>
      </c>
      <c r="AA79" s="86">
        <f t="shared" si="35"/>
        <v>3.5656401944894651</v>
      </c>
      <c r="AB79" s="85">
        <f t="shared" si="35"/>
        <v>2.1069692058346838</v>
      </c>
      <c r="AC79" s="87">
        <f t="shared" si="35"/>
        <v>3.2414910858995136</v>
      </c>
    </row>
    <row r="80" spans="1:29" ht="12.75" customHeight="1" x14ac:dyDescent="0.2">
      <c r="A80" s="270"/>
      <c r="B80" s="114">
        <f t="shared" si="34"/>
        <v>100</v>
      </c>
      <c r="C80" s="125">
        <v>54.024468770122347</v>
      </c>
      <c r="D80" s="126">
        <v>44.558918222794588</v>
      </c>
      <c r="E80" s="126">
        <v>50.482936252414682</v>
      </c>
      <c r="F80" s="126">
        <v>28.654217643271089</v>
      </c>
      <c r="G80" s="126">
        <v>11.976819059884097</v>
      </c>
      <c r="H80" s="126">
        <v>9.2723760463618792</v>
      </c>
      <c r="I80" s="127">
        <v>8.1777205408886022</v>
      </c>
      <c r="J80" s="126">
        <v>7.7269800386349008</v>
      </c>
      <c r="K80" s="126">
        <v>6.374758531873792</v>
      </c>
      <c r="L80" s="126">
        <v>4.7005795235028982</v>
      </c>
      <c r="M80" s="126">
        <v>1.9317450096587252</v>
      </c>
      <c r="N80" s="127">
        <v>2.2537025112685125</v>
      </c>
      <c r="O80" s="128"/>
      <c r="Q80" s="95" t="str">
        <f>A83</f>
        <v>西濃圏域(n = 290 )　　</v>
      </c>
      <c r="R80" s="88">
        <f t="shared" ref="R80:AC80" si="36">C84</f>
        <v>50.689655172413794</v>
      </c>
      <c r="S80" s="89">
        <f t="shared" si="36"/>
        <v>42.068965517241381</v>
      </c>
      <c r="T80" s="89">
        <f t="shared" si="36"/>
        <v>50</v>
      </c>
      <c r="U80" s="89">
        <f t="shared" si="36"/>
        <v>34.137931034482762</v>
      </c>
      <c r="V80" s="89">
        <f t="shared" si="36"/>
        <v>11.724137931034482</v>
      </c>
      <c r="W80" s="89">
        <f t="shared" si="36"/>
        <v>9.6551724137931032</v>
      </c>
      <c r="X80" s="90">
        <f t="shared" si="36"/>
        <v>8.6206896551724146</v>
      </c>
      <c r="Y80" s="90">
        <f t="shared" si="36"/>
        <v>7.2413793103448283</v>
      </c>
      <c r="Z80" s="89">
        <f t="shared" si="36"/>
        <v>7.931034482758621</v>
      </c>
      <c r="AA80" s="90">
        <f t="shared" si="36"/>
        <v>2.0689655172413794</v>
      </c>
      <c r="AB80" s="89">
        <f t="shared" si="36"/>
        <v>1.7241379310344827</v>
      </c>
      <c r="AC80" s="91">
        <f t="shared" si="36"/>
        <v>2.4137931034482758</v>
      </c>
    </row>
    <row r="81" spans="1:29" ht="12.75" customHeight="1" x14ac:dyDescent="0.2">
      <c r="A81" s="269" t="str">
        <f>A65</f>
        <v>岐阜圏域(n = 617 )　　</v>
      </c>
      <c r="B81" s="113">
        <f t="shared" si="34"/>
        <v>617</v>
      </c>
      <c r="C81" s="129">
        <v>281</v>
      </c>
      <c r="D81" s="130">
        <v>340</v>
      </c>
      <c r="E81" s="130">
        <v>275</v>
      </c>
      <c r="F81" s="130">
        <v>196</v>
      </c>
      <c r="G81" s="130">
        <v>55</v>
      </c>
      <c r="H81" s="130">
        <v>77</v>
      </c>
      <c r="I81" s="140">
        <v>53</v>
      </c>
      <c r="J81" s="130">
        <v>50</v>
      </c>
      <c r="K81" s="130">
        <v>39</v>
      </c>
      <c r="L81" s="130">
        <v>22</v>
      </c>
      <c r="M81" s="130">
        <v>13</v>
      </c>
      <c r="N81" s="140">
        <v>20</v>
      </c>
      <c r="O81" s="131"/>
      <c r="Q81" s="95" t="str">
        <f>A85</f>
        <v>中濃圏域(n = 300 )　　</v>
      </c>
      <c r="R81" s="88">
        <f t="shared" ref="R81:AC81" si="37">C86</f>
        <v>54</v>
      </c>
      <c r="S81" s="89">
        <f t="shared" si="37"/>
        <v>40.666666666666664</v>
      </c>
      <c r="T81" s="89">
        <f t="shared" si="37"/>
        <v>48</v>
      </c>
      <c r="U81" s="89">
        <f t="shared" si="37"/>
        <v>30.333333333333336</v>
      </c>
      <c r="V81" s="89">
        <f t="shared" si="37"/>
        <v>12.666666666666668</v>
      </c>
      <c r="W81" s="89">
        <f t="shared" si="37"/>
        <v>8.6666666666666679</v>
      </c>
      <c r="X81" s="90">
        <f t="shared" si="37"/>
        <v>11</v>
      </c>
      <c r="Y81" s="90">
        <f t="shared" si="37"/>
        <v>7.333333333333333</v>
      </c>
      <c r="Z81" s="89">
        <f t="shared" si="37"/>
        <v>6.3333333333333339</v>
      </c>
      <c r="AA81" s="90">
        <f t="shared" si="37"/>
        <v>6.666666666666667</v>
      </c>
      <c r="AB81" s="89">
        <f t="shared" si="37"/>
        <v>1.3333333333333335</v>
      </c>
      <c r="AC81" s="91">
        <f t="shared" si="37"/>
        <v>2</v>
      </c>
    </row>
    <row r="82" spans="1:29" ht="12.75" customHeight="1" x14ac:dyDescent="0.2">
      <c r="A82" s="270"/>
      <c r="B82" s="114">
        <f t="shared" si="34"/>
        <v>38.180693069306933</v>
      </c>
      <c r="C82" s="125">
        <v>45.54294975688817</v>
      </c>
      <c r="D82" s="126">
        <v>55.105348460291737</v>
      </c>
      <c r="E82" s="126">
        <v>44.570502431118314</v>
      </c>
      <c r="F82" s="126">
        <v>31.766612641815232</v>
      </c>
      <c r="G82" s="126">
        <v>8.9141004862236617</v>
      </c>
      <c r="H82" s="126">
        <v>12.479740680713128</v>
      </c>
      <c r="I82" s="127">
        <v>8.589951377633712</v>
      </c>
      <c r="J82" s="126">
        <v>8.1037277147487838</v>
      </c>
      <c r="K82" s="126">
        <v>6.3209076175040515</v>
      </c>
      <c r="L82" s="126">
        <v>3.5656401944894651</v>
      </c>
      <c r="M82" s="126">
        <v>2.1069692058346838</v>
      </c>
      <c r="N82" s="127">
        <v>3.2414910858995136</v>
      </c>
      <c r="O82" s="128"/>
      <c r="Q82" s="95" t="str">
        <f>A87</f>
        <v>東濃圏域(n = 271 )　　</v>
      </c>
      <c r="R82" s="88">
        <f t="shared" ref="R82:AC82" si="38">C88</f>
        <v>48.708487084870846</v>
      </c>
      <c r="S82" s="89">
        <f t="shared" si="38"/>
        <v>47.232472324723247</v>
      </c>
      <c r="T82" s="89">
        <f t="shared" si="38"/>
        <v>41.697416974169741</v>
      </c>
      <c r="U82" s="89">
        <f t="shared" si="38"/>
        <v>25.830258302583026</v>
      </c>
      <c r="V82" s="89">
        <f t="shared" si="38"/>
        <v>12.915129151291513</v>
      </c>
      <c r="W82" s="89">
        <f t="shared" si="38"/>
        <v>9.9630996309963091</v>
      </c>
      <c r="X82" s="90">
        <f t="shared" si="38"/>
        <v>5.5350553505535052</v>
      </c>
      <c r="Y82" s="90">
        <f t="shared" si="38"/>
        <v>6.2730627306273057</v>
      </c>
      <c r="Z82" s="89">
        <f t="shared" si="38"/>
        <v>9.2250922509225095</v>
      </c>
      <c r="AA82" s="90">
        <f t="shared" si="38"/>
        <v>4.428044280442804</v>
      </c>
      <c r="AB82" s="89">
        <f t="shared" si="38"/>
        <v>2.5830258302583027</v>
      </c>
      <c r="AC82" s="91">
        <f t="shared" si="38"/>
        <v>2.5830258302583027</v>
      </c>
    </row>
    <row r="83" spans="1:29" ht="13.5" customHeight="1" x14ac:dyDescent="0.2">
      <c r="A83" s="269" t="str">
        <f>A67</f>
        <v>西濃圏域(n = 290 )　　</v>
      </c>
      <c r="B83" s="113">
        <f t="shared" si="34"/>
        <v>290</v>
      </c>
      <c r="C83" s="129">
        <v>147</v>
      </c>
      <c r="D83" s="130">
        <v>122</v>
      </c>
      <c r="E83" s="130">
        <v>145</v>
      </c>
      <c r="F83" s="130">
        <v>99</v>
      </c>
      <c r="G83" s="130">
        <v>34</v>
      </c>
      <c r="H83" s="130">
        <v>28</v>
      </c>
      <c r="I83" s="140">
        <v>25</v>
      </c>
      <c r="J83" s="130">
        <v>21</v>
      </c>
      <c r="K83" s="130">
        <v>23</v>
      </c>
      <c r="L83" s="130">
        <v>6</v>
      </c>
      <c r="M83" s="130">
        <v>5</v>
      </c>
      <c r="N83" s="140">
        <v>7</v>
      </c>
      <c r="O83" s="131"/>
      <c r="Q83" s="94" t="str">
        <f>A89</f>
        <v>飛騨圏域(n = 106 )　　</v>
      </c>
      <c r="R83" s="78">
        <f t="shared" ref="R83:AC83" si="39">C90</f>
        <v>58.490566037735846</v>
      </c>
      <c r="S83" s="79">
        <f t="shared" si="39"/>
        <v>38.679245283018872</v>
      </c>
      <c r="T83" s="79">
        <f t="shared" si="39"/>
        <v>44.339622641509436</v>
      </c>
      <c r="U83" s="79">
        <f t="shared" si="39"/>
        <v>33.018867924528301</v>
      </c>
      <c r="V83" s="79">
        <f t="shared" si="39"/>
        <v>16.037735849056602</v>
      </c>
      <c r="W83" s="79">
        <f t="shared" si="39"/>
        <v>10.377358490566039</v>
      </c>
      <c r="X83" s="80">
        <f t="shared" si="39"/>
        <v>7.5471698113207548</v>
      </c>
      <c r="Y83" s="80">
        <f t="shared" si="39"/>
        <v>8.4905660377358494</v>
      </c>
      <c r="Z83" s="79">
        <f t="shared" si="39"/>
        <v>8.4905660377358494</v>
      </c>
      <c r="AA83" s="80">
        <f t="shared" si="39"/>
        <v>4.716981132075472</v>
      </c>
      <c r="AB83" s="79">
        <f t="shared" si="39"/>
        <v>4.716981132075472</v>
      </c>
      <c r="AC83" s="81">
        <f t="shared" si="39"/>
        <v>4.716981132075472</v>
      </c>
    </row>
    <row r="84" spans="1:29" x14ac:dyDescent="0.2">
      <c r="A84" s="270"/>
      <c r="B84" s="114">
        <f t="shared" si="34"/>
        <v>17.945544554455445</v>
      </c>
      <c r="C84" s="125">
        <v>50.689655172413794</v>
      </c>
      <c r="D84" s="126">
        <v>42.068965517241381</v>
      </c>
      <c r="E84" s="126">
        <v>50</v>
      </c>
      <c r="F84" s="126">
        <v>34.137931034482762</v>
      </c>
      <c r="G84" s="126">
        <v>11.724137931034482</v>
      </c>
      <c r="H84" s="126">
        <v>9.6551724137931032</v>
      </c>
      <c r="I84" s="127">
        <v>8.6206896551724146</v>
      </c>
      <c r="J84" s="126">
        <v>7.2413793103448283</v>
      </c>
      <c r="K84" s="126">
        <v>7.931034482758621</v>
      </c>
      <c r="L84" s="126">
        <v>2.0689655172413794</v>
      </c>
      <c r="M84" s="126">
        <v>1.7241379310344827</v>
      </c>
      <c r="N84" s="127">
        <v>2.4137931034482758</v>
      </c>
      <c r="O84" s="128"/>
      <c r="R84" s="7"/>
      <c r="S84" s="7"/>
      <c r="T84" s="7"/>
    </row>
    <row r="85" spans="1:29" x14ac:dyDescent="0.2">
      <c r="A85" s="269" t="str">
        <f>A69</f>
        <v>中濃圏域(n = 300 )　　</v>
      </c>
      <c r="B85" s="113">
        <f t="shared" si="34"/>
        <v>300</v>
      </c>
      <c r="C85" s="129">
        <v>162</v>
      </c>
      <c r="D85" s="130">
        <v>122</v>
      </c>
      <c r="E85" s="130">
        <v>144</v>
      </c>
      <c r="F85" s="130">
        <v>91</v>
      </c>
      <c r="G85" s="130">
        <v>38</v>
      </c>
      <c r="H85" s="130">
        <v>26</v>
      </c>
      <c r="I85" s="140">
        <v>33</v>
      </c>
      <c r="J85" s="130">
        <v>22</v>
      </c>
      <c r="K85" s="130">
        <v>19</v>
      </c>
      <c r="L85" s="130">
        <v>20</v>
      </c>
      <c r="M85" s="130">
        <v>4</v>
      </c>
      <c r="N85" s="140">
        <v>6</v>
      </c>
      <c r="O85" s="131"/>
    </row>
    <row r="86" spans="1:29" x14ac:dyDescent="0.2">
      <c r="A86" s="270"/>
      <c r="B86" s="114">
        <f t="shared" si="34"/>
        <v>18.564356435643564</v>
      </c>
      <c r="C86" s="125">
        <v>54</v>
      </c>
      <c r="D86" s="126">
        <v>40.666666666666664</v>
      </c>
      <c r="E86" s="126">
        <v>48</v>
      </c>
      <c r="F86" s="126">
        <v>30.333333333333336</v>
      </c>
      <c r="G86" s="126">
        <v>12.666666666666668</v>
      </c>
      <c r="H86" s="126">
        <v>8.6666666666666679</v>
      </c>
      <c r="I86" s="127">
        <v>11</v>
      </c>
      <c r="J86" s="126">
        <v>7.333333333333333</v>
      </c>
      <c r="K86" s="126">
        <v>6.3333333333333339</v>
      </c>
      <c r="L86" s="126">
        <v>6.666666666666667</v>
      </c>
      <c r="M86" s="126">
        <v>1.3333333333333335</v>
      </c>
      <c r="N86" s="127">
        <v>2</v>
      </c>
      <c r="O86" s="128"/>
    </row>
    <row r="87" spans="1:29" x14ac:dyDescent="0.2">
      <c r="A87" s="269" t="str">
        <f>A71</f>
        <v>東濃圏域(n = 271 )　　</v>
      </c>
      <c r="B87" s="113">
        <f t="shared" si="34"/>
        <v>271</v>
      </c>
      <c r="C87" s="129">
        <v>132</v>
      </c>
      <c r="D87" s="130">
        <v>128</v>
      </c>
      <c r="E87" s="130">
        <v>113</v>
      </c>
      <c r="F87" s="130">
        <v>70</v>
      </c>
      <c r="G87" s="130">
        <v>35</v>
      </c>
      <c r="H87" s="130">
        <v>27</v>
      </c>
      <c r="I87" s="140">
        <v>15</v>
      </c>
      <c r="J87" s="130">
        <v>17</v>
      </c>
      <c r="K87" s="130">
        <v>25</v>
      </c>
      <c r="L87" s="130">
        <v>12</v>
      </c>
      <c r="M87" s="130">
        <v>7</v>
      </c>
      <c r="N87" s="140">
        <v>7</v>
      </c>
      <c r="O87" s="131"/>
    </row>
    <row r="88" spans="1:29" x14ac:dyDescent="0.2">
      <c r="A88" s="270"/>
      <c r="B88" s="114">
        <f t="shared" si="34"/>
        <v>16.769801980198022</v>
      </c>
      <c r="C88" s="125">
        <v>48.708487084870846</v>
      </c>
      <c r="D88" s="126">
        <v>47.232472324723247</v>
      </c>
      <c r="E88" s="126">
        <v>41.697416974169741</v>
      </c>
      <c r="F88" s="126">
        <v>25.830258302583026</v>
      </c>
      <c r="G88" s="126">
        <v>12.915129151291513</v>
      </c>
      <c r="H88" s="126">
        <v>9.9630996309963091</v>
      </c>
      <c r="I88" s="127">
        <v>5.5350553505535052</v>
      </c>
      <c r="J88" s="126">
        <v>6.2730627306273057</v>
      </c>
      <c r="K88" s="126">
        <v>9.2250922509225095</v>
      </c>
      <c r="L88" s="126">
        <v>4.428044280442804</v>
      </c>
      <c r="M88" s="126">
        <v>2.5830258302583027</v>
      </c>
      <c r="N88" s="127">
        <v>2.5830258302583027</v>
      </c>
      <c r="O88" s="128"/>
    </row>
    <row r="89" spans="1:29" x14ac:dyDescent="0.2">
      <c r="A89" s="269" t="str">
        <f>A73</f>
        <v>飛騨圏域(n = 106 )　　</v>
      </c>
      <c r="B89" s="113">
        <f t="shared" si="34"/>
        <v>106</v>
      </c>
      <c r="C89" s="129">
        <v>62</v>
      </c>
      <c r="D89" s="130">
        <v>41</v>
      </c>
      <c r="E89" s="130">
        <v>47</v>
      </c>
      <c r="F89" s="130">
        <v>35</v>
      </c>
      <c r="G89" s="130">
        <v>17</v>
      </c>
      <c r="H89" s="130">
        <v>11</v>
      </c>
      <c r="I89" s="140">
        <v>8</v>
      </c>
      <c r="J89" s="130">
        <v>9</v>
      </c>
      <c r="K89" s="130">
        <v>9</v>
      </c>
      <c r="L89" s="130">
        <v>5</v>
      </c>
      <c r="M89" s="130">
        <v>5</v>
      </c>
      <c r="N89" s="140">
        <v>5</v>
      </c>
      <c r="O89" s="131"/>
    </row>
    <row r="90" spans="1:29" x14ac:dyDescent="0.2">
      <c r="A90" s="270"/>
      <c r="B90" s="114">
        <f t="shared" si="34"/>
        <v>6.5594059405940595</v>
      </c>
      <c r="C90" s="125">
        <v>58.490566037735846</v>
      </c>
      <c r="D90" s="126">
        <v>38.679245283018872</v>
      </c>
      <c r="E90" s="126">
        <v>44.339622641509436</v>
      </c>
      <c r="F90" s="126">
        <v>33.018867924528301</v>
      </c>
      <c r="G90" s="126">
        <v>16.037735849056602</v>
      </c>
      <c r="H90" s="126">
        <v>10.377358490566039</v>
      </c>
      <c r="I90" s="127">
        <v>7.5471698113207548</v>
      </c>
      <c r="J90" s="126">
        <v>8.4905660377358494</v>
      </c>
      <c r="K90" s="126">
        <v>8.4905660377358494</v>
      </c>
      <c r="L90" s="126">
        <v>4.716981132075472</v>
      </c>
      <c r="M90" s="126">
        <v>4.716981132075472</v>
      </c>
      <c r="N90" s="127">
        <v>4.716981132075472</v>
      </c>
      <c r="O90" s="128"/>
    </row>
  </sheetData>
  <mergeCells count="34">
    <mergeCell ref="A67:A68"/>
    <mergeCell ref="A85:A86"/>
    <mergeCell ref="A87:A88"/>
    <mergeCell ref="A89:A90"/>
    <mergeCell ref="A71:A72"/>
    <mergeCell ref="A73:A74"/>
    <mergeCell ref="A79:A80"/>
    <mergeCell ref="A81:A82"/>
    <mergeCell ref="A83:A84"/>
    <mergeCell ref="A45:A46"/>
    <mergeCell ref="A31:A32"/>
    <mergeCell ref="A33:A34"/>
    <mergeCell ref="A25:A26"/>
    <mergeCell ref="A69:A70"/>
    <mergeCell ref="A37:A38"/>
    <mergeCell ref="A43:A44"/>
    <mergeCell ref="A47:A48"/>
    <mergeCell ref="A49:A50"/>
    <mergeCell ref="A51:A52"/>
    <mergeCell ref="A53:A54"/>
    <mergeCell ref="A35:A36"/>
    <mergeCell ref="A55:A56"/>
    <mergeCell ref="A57:A58"/>
    <mergeCell ref="A63:A64"/>
    <mergeCell ref="A65:A66"/>
    <mergeCell ref="A17:A18"/>
    <mergeCell ref="A23:A24"/>
    <mergeCell ref="A27:A28"/>
    <mergeCell ref="A29:A30"/>
    <mergeCell ref="A3:A4"/>
    <mergeCell ref="A5:A6"/>
    <mergeCell ref="A7:A8"/>
    <mergeCell ref="A13:A14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94"/>
  <sheetViews>
    <sheetView topLeftCell="A65" zoomScaleNormal="100" workbookViewId="0">
      <selection activeCell="L109" sqref="L109"/>
    </sheetView>
  </sheetViews>
  <sheetFormatPr defaultRowHeight="13.2" x14ac:dyDescent="0.2"/>
  <cols>
    <col min="19" max="19" width="8.88671875" style="50"/>
  </cols>
  <sheetData>
    <row r="1" spans="1:10" x14ac:dyDescent="0.2">
      <c r="A1" s="3" t="s">
        <v>322</v>
      </c>
      <c r="B1" s="1" t="s">
        <v>321</v>
      </c>
      <c r="C1" s="8"/>
      <c r="D1" s="8"/>
      <c r="E1" s="8"/>
      <c r="F1" s="8"/>
      <c r="G1" s="8"/>
      <c r="H1" s="9" t="s">
        <v>1</v>
      </c>
    </row>
    <row r="2" spans="1:10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0" x14ac:dyDescent="0.2">
      <c r="A3" s="133" t="s">
        <v>8</v>
      </c>
      <c r="B3" s="132" t="s">
        <v>156</v>
      </c>
      <c r="C3" s="52" t="s">
        <v>173</v>
      </c>
      <c r="D3" s="52" t="s">
        <v>184</v>
      </c>
      <c r="E3" s="53" t="s">
        <v>185</v>
      </c>
      <c r="F3" s="52" t="s">
        <v>186</v>
      </c>
      <c r="G3" s="52" t="s">
        <v>245</v>
      </c>
      <c r="H3" s="54" t="s">
        <v>249</v>
      </c>
      <c r="I3" s="55" t="s">
        <v>252</v>
      </c>
      <c r="J3" s="229"/>
    </row>
    <row r="4" spans="1:10" x14ac:dyDescent="0.2">
      <c r="A4" s="134" t="s">
        <v>320</v>
      </c>
      <c r="B4" s="137">
        <v>35.299999999999997</v>
      </c>
      <c r="C4" s="115">
        <v>33.587786259541986</v>
      </c>
      <c r="D4" s="115">
        <v>35.4</v>
      </c>
      <c r="E4" s="116">
        <v>37</v>
      </c>
      <c r="F4" s="115">
        <v>32.9</v>
      </c>
      <c r="G4" s="115">
        <v>40.200000000000003</v>
      </c>
      <c r="H4" s="231">
        <v>36.842105263157897</v>
      </c>
      <c r="I4" s="64">
        <f>C39+D39</f>
        <v>31.932773109243701</v>
      </c>
      <c r="J4" s="229">
        <f>I4-H4</f>
        <v>-4.9093321539141961</v>
      </c>
    </row>
    <row r="5" spans="1:10" x14ac:dyDescent="0.2">
      <c r="A5" s="135" t="s">
        <v>319</v>
      </c>
      <c r="B5" s="138">
        <v>44.6</v>
      </c>
      <c r="C5" s="117">
        <v>53.435114503816799</v>
      </c>
      <c r="D5" s="117">
        <v>47.2</v>
      </c>
      <c r="E5" s="118">
        <v>48</v>
      </c>
      <c r="F5" s="117">
        <v>55.199999999999996</v>
      </c>
      <c r="G5" s="117">
        <v>45.400000000000006</v>
      </c>
      <c r="H5" s="232">
        <v>50.877192982456137</v>
      </c>
      <c r="I5" s="65">
        <f>E39+F39</f>
        <v>57.142857142857146</v>
      </c>
      <c r="J5" s="229">
        <f>I5-H5</f>
        <v>6.265664160401009</v>
      </c>
    </row>
    <row r="6" spans="1:10" x14ac:dyDescent="0.2">
      <c r="A6" s="133" t="s">
        <v>12</v>
      </c>
      <c r="B6" s="132" t="s">
        <v>156</v>
      </c>
      <c r="C6" s="52" t="s">
        <v>173</v>
      </c>
      <c r="D6" s="52" t="s">
        <v>184</v>
      </c>
      <c r="E6" s="53" t="s">
        <v>185</v>
      </c>
      <c r="F6" s="52" t="s">
        <v>186</v>
      </c>
      <c r="G6" s="52" t="s">
        <v>245</v>
      </c>
      <c r="H6" s="54" t="s">
        <v>249</v>
      </c>
      <c r="I6" s="55" t="str">
        <f>I3</f>
        <v>R4</v>
      </c>
      <c r="J6" s="229"/>
    </row>
    <row r="7" spans="1:10" x14ac:dyDescent="0.2">
      <c r="A7" s="134" t="s">
        <v>320</v>
      </c>
      <c r="B7" s="137">
        <v>38.4</v>
      </c>
      <c r="C7" s="115">
        <v>40.703517587939693</v>
      </c>
      <c r="D7" s="115">
        <v>41.2</v>
      </c>
      <c r="E7" s="116">
        <v>42.800000000000004</v>
      </c>
      <c r="F7" s="115">
        <v>43.199999999999996</v>
      </c>
      <c r="G7" s="115">
        <v>46.8</v>
      </c>
      <c r="H7" s="231">
        <v>44.827586206896555</v>
      </c>
      <c r="I7" s="64">
        <f>C41+D41</f>
        <v>43.367346938775512</v>
      </c>
      <c r="J7" s="229">
        <f>I7-H7</f>
        <v>-1.4602392681210432</v>
      </c>
    </row>
    <row r="8" spans="1:10" x14ac:dyDescent="0.2">
      <c r="A8" s="135" t="s">
        <v>319</v>
      </c>
      <c r="B8" s="138">
        <v>46.400000000000006</v>
      </c>
      <c r="C8" s="117">
        <v>45.226130653266331</v>
      </c>
      <c r="D8" s="117">
        <v>51.7</v>
      </c>
      <c r="E8" s="118">
        <v>48.4</v>
      </c>
      <c r="F8" s="117">
        <v>46.2</v>
      </c>
      <c r="G8" s="117">
        <v>45.3</v>
      </c>
      <c r="H8" s="232">
        <v>43.678160919540232</v>
      </c>
      <c r="I8" s="65">
        <f>E41+F41</f>
        <v>46.428571428571431</v>
      </c>
      <c r="J8" s="229">
        <f>I8-H8</f>
        <v>2.7504105090311981</v>
      </c>
    </row>
    <row r="9" spans="1:10" x14ac:dyDescent="0.2">
      <c r="A9" s="133" t="s">
        <v>14</v>
      </c>
      <c r="B9" s="132" t="s">
        <v>156</v>
      </c>
      <c r="C9" s="52" t="s">
        <v>173</v>
      </c>
      <c r="D9" s="52" t="s">
        <v>184</v>
      </c>
      <c r="E9" s="53" t="s">
        <v>185</v>
      </c>
      <c r="F9" s="52" t="s">
        <v>186</v>
      </c>
      <c r="G9" s="52" t="s">
        <v>245</v>
      </c>
      <c r="H9" s="54" t="s">
        <v>249</v>
      </c>
      <c r="I9" s="55" t="str">
        <f>I6</f>
        <v>R4</v>
      </c>
      <c r="J9" s="229"/>
    </row>
    <row r="10" spans="1:10" x14ac:dyDescent="0.2">
      <c r="A10" s="134" t="s">
        <v>320</v>
      </c>
      <c r="B10" s="137">
        <v>48.9</v>
      </c>
      <c r="C10" s="115">
        <v>44.705882352941174</v>
      </c>
      <c r="D10" s="115">
        <v>37.299999999999997</v>
      </c>
      <c r="E10" s="116">
        <v>41.1</v>
      </c>
      <c r="F10" s="115">
        <v>46.599999999999994</v>
      </c>
      <c r="G10" s="115">
        <v>50</v>
      </c>
      <c r="H10" s="231">
        <v>48.192771084337352</v>
      </c>
      <c r="I10" s="64">
        <f>C43+D43</f>
        <v>48.754448398576514</v>
      </c>
      <c r="J10" s="229">
        <f>I10-H10</f>
        <v>0.56167731423916223</v>
      </c>
    </row>
    <row r="11" spans="1:10" x14ac:dyDescent="0.2">
      <c r="A11" s="135" t="s">
        <v>319</v>
      </c>
      <c r="B11" s="138">
        <v>37.6</v>
      </c>
      <c r="C11" s="117">
        <v>39.215686274509807</v>
      </c>
      <c r="D11" s="117">
        <v>51.3</v>
      </c>
      <c r="E11" s="118">
        <v>48.4</v>
      </c>
      <c r="F11" s="117">
        <v>45.8</v>
      </c>
      <c r="G11" s="117">
        <v>39.9</v>
      </c>
      <c r="H11" s="232">
        <v>42.5</v>
      </c>
      <c r="I11" s="65">
        <f>E43+F43</f>
        <v>41.281138790035584</v>
      </c>
      <c r="J11" s="229">
        <f>I11-H11</f>
        <v>-1.218861209964416</v>
      </c>
    </row>
    <row r="12" spans="1:10" x14ac:dyDescent="0.2">
      <c r="A12" s="133" t="s">
        <v>15</v>
      </c>
      <c r="B12" s="132" t="s">
        <v>156</v>
      </c>
      <c r="C12" s="52" t="s">
        <v>173</v>
      </c>
      <c r="D12" s="52" t="s">
        <v>184</v>
      </c>
      <c r="E12" s="53" t="s">
        <v>185</v>
      </c>
      <c r="F12" s="52" t="s">
        <v>186</v>
      </c>
      <c r="G12" s="52" t="s">
        <v>245</v>
      </c>
      <c r="H12" s="54" t="s">
        <v>249</v>
      </c>
      <c r="I12" s="55" t="str">
        <f>I9</f>
        <v>R4</v>
      </c>
      <c r="J12" s="229"/>
    </row>
    <row r="13" spans="1:10" x14ac:dyDescent="0.2">
      <c r="A13" s="134" t="s">
        <v>320</v>
      </c>
      <c r="B13" s="137">
        <v>45</v>
      </c>
      <c r="C13" s="115">
        <v>41.758241758241752</v>
      </c>
      <c r="D13" s="115">
        <v>35.6</v>
      </c>
      <c r="E13" s="116">
        <v>46.7</v>
      </c>
      <c r="F13" s="115">
        <v>40.800000000000004</v>
      </c>
      <c r="G13" s="115">
        <v>49.599999999999994</v>
      </c>
      <c r="H13" s="231">
        <v>45.599999999999994</v>
      </c>
      <c r="I13" s="64">
        <f>C45+D45</f>
        <v>47.8125</v>
      </c>
      <c r="J13" s="229">
        <f>I13-H13</f>
        <v>2.2125000000000057</v>
      </c>
    </row>
    <row r="14" spans="1:10" x14ac:dyDescent="0.2">
      <c r="A14" s="135" t="s">
        <v>319</v>
      </c>
      <c r="B14" s="138">
        <v>42.3</v>
      </c>
      <c r="C14" s="117">
        <v>42.124542124542131</v>
      </c>
      <c r="D14" s="117">
        <v>52.9</v>
      </c>
      <c r="E14" s="118">
        <v>47.1</v>
      </c>
      <c r="F14" s="117">
        <v>50.8</v>
      </c>
      <c r="G14" s="117">
        <v>40.6</v>
      </c>
      <c r="H14" s="232">
        <v>40.4</v>
      </c>
      <c r="I14" s="65">
        <f>E45+F45</f>
        <v>43.4375</v>
      </c>
      <c r="J14" s="229">
        <f>I14-H14</f>
        <v>3.0375000000000014</v>
      </c>
    </row>
    <row r="15" spans="1:10" x14ac:dyDescent="0.2">
      <c r="A15" s="133" t="s">
        <v>16</v>
      </c>
      <c r="B15" s="132" t="s">
        <v>156</v>
      </c>
      <c r="C15" s="52" t="s">
        <v>173</v>
      </c>
      <c r="D15" s="52" t="s">
        <v>184</v>
      </c>
      <c r="E15" s="53" t="s">
        <v>185</v>
      </c>
      <c r="F15" s="52" t="s">
        <v>186</v>
      </c>
      <c r="G15" s="52" t="s">
        <v>245</v>
      </c>
      <c r="H15" s="54" t="s">
        <v>249</v>
      </c>
      <c r="I15" s="55" t="str">
        <f>I12</f>
        <v>R4</v>
      </c>
      <c r="J15" s="229"/>
    </row>
    <row r="16" spans="1:10" x14ac:dyDescent="0.2">
      <c r="A16" s="134" t="s">
        <v>320</v>
      </c>
      <c r="B16" s="137">
        <v>43.9</v>
      </c>
      <c r="C16" s="115">
        <v>47.368421052631582</v>
      </c>
      <c r="D16" s="115">
        <v>43.4</v>
      </c>
      <c r="E16" s="116">
        <v>45.099999999999994</v>
      </c>
      <c r="F16" s="115">
        <v>44.099999999999994</v>
      </c>
      <c r="G16" s="115">
        <v>47.2</v>
      </c>
      <c r="H16" s="231">
        <v>51.3</v>
      </c>
      <c r="I16" s="64">
        <f>C47+D47</f>
        <v>46.590909090909093</v>
      </c>
      <c r="J16" s="229">
        <f>I16-H16</f>
        <v>-4.7090909090909037</v>
      </c>
    </row>
    <row r="17" spans="1:19" x14ac:dyDescent="0.2">
      <c r="A17" s="135" t="s">
        <v>319</v>
      </c>
      <c r="B17" s="138">
        <v>40.199999999999996</v>
      </c>
      <c r="C17" s="117">
        <v>39.00928792569659</v>
      </c>
      <c r="D17" s="117">
        <v>45.199999999999996</v>
      </c>
      <c r="E17" s="118">
        <v>46.300000000000004</v>
      </c>
      <c r="F17" s="117">
        <v>45.7</v>
      </c>
      <c r="G17" s="117">
        <v>42.5</v>
      </c>
      <c r="H17" s="232">
        <v>39.817629179331306</v>
      </c>
      <c r="I17" s="65">
        <f>E47+F47</f>
        <v>42.045454545454547</v>
      </c>
      <c r="J17" s="229">
        <f>I17-H17</f>
        <v>2.2278253661232412</v>
      </c>
    </row>
    <row r="18" spans="1:19" x14ac:dyDescent="0.2">
      <c r="A18" s="133" t="s">
        <v>17</v>
      </c>
      <c r="B18" s="132" t="s">
        <v>156</v>
      </c>
      <c r="C18" s="52" t="s">
        <v>173</v>
      </c>
      <c r="D18" s="52" t="s">
        <v>184</v>
      </c>
      <c r="E18" s="53" t="s">
        <v>185</v>
      </c>
      <c r="F18" s="52" t="s">
        <v>186</v>
      </c>
      <c r="G18" s="52" t="s">
        <v>245</v>
      </c>
      <c r="H18" s="54" t="s">
        <v>249</v>
      </c>
      <c r="I18" s="55" t="str">
        <f>I15</f>
        <v>R4</v>
      </c>
      <c r="J18" s="229"/>
    </row>
    <row r="19" spans="1:19" x14ac:dyDescent="0.2">
      <c r="A19" s="134" t="s">
        <v>320</v>
      </c>
      <c r="B19" s="137">
        <v>56.8</v>
      </c>
      <c r="C19" s="115">
        <v>58.609271523178805</v>
      </c>
      <c r="D19" s="115">
        <v>59.5</v>
      </c>
      <c r="E19" s="116">
        <v>52.4</v>
      </c>
      <c r="F19" s="115">
        <v>58.3</v>
      </c>
      <c r="G19" s="115">
        <v>61.3</v>
      </c>
      <c r="H19" s="231">
        <v>58.7</v>
      </c>
      <c r="I19" s="64">
        <f>C49+D49</f>
        <v>52.698412698412696</v>
      </c>
      <c r="J19" s="229">
        <f>I19-H19</f>
        <v>-6.0015873015873069</v>
      </c>
    </row>
    <row r="20" spans="1:19" x14ac:dyDescent="0.2">
      <c r="A20" s="136" t="s">
        <v>319</v>
      </c>
      <c r="B20" s="139">
        <v>20.399999999999999</v>
      </c>
      <c r="C20" s="119">
        <v>24.503311258278146</v>
      </c>
      <c r="D20" s="119">
        <v>28.900000000000002</v>
      </c>
      <c r="E20" s="120">
        <v>33.1</v>
      </c>
      <c r="F20" s="119">
        <v>28.6</v>
      </c>
      <c r="G20" s="119">
        <v>26.5</v>
      </c>
      <c r="H20" s="230">
        <v>29.05759162303665</v>
      </c>
      <c r="I20" s="66">
        <f>E49+F49</f>
        <v>34.603174603174601</v>
      </c>
      <c r="J20" s="229">
        <f>I20-H20</f>
        <v>5.5455829801379508</v>
      </c>
    </row>
    <row r="22" spans="1:19" x14ac:dyDescent="0.2">
      <c r="A22" s="3" t="s">
        <v>318</v>
      </c>
      <c r="B22" s="1" t="str">
        <f>B1</f>
        <v>県事業への関心の有無</v>
      </c>
      <c r="C22" s="8"/>
      <c r="D22" s="8"/>
      <c r="E22" s="8"/>
      <c r="F22" s="8"/>
      <c r="G22" s="9" t="s">
        <v>1</v>
      </c>
    </row>
    <row r="23" spans="1:19" ht="33.75" customHeight="1" x14ac:dyDescent="0.2">
      <c r="A23" s="12" t="s">
        <v>20</v>
      </c>
      <c r="B23" s="59" t="s">
        <v>3</v>
      </c>
      <c r="C23" s="60" t="s">
        <v>317</v>
      </c>
      <c r="D23" s="61" t="s">
        <v>316</v>
      </c>
      <c r="E23" s="61" t="s">
        <v>315</v>
      </c>
      <c r="F23" s="61" t="s">
        <v>314</v>
      </c>
      <c r="G23" s="61" t="s">
        <v>106</v>
      </c>
      <c r="H23" s="63" t="s">
        <v>0</v>
      </c>
      <c r="I23" s="21" t="s">
        <v>32</v>
      </c>
      <c r="J23" s="12" t="str">
        <f>A23</f>
        <v>【性別】</v>
      </c>
      <c r="K23" s="60" t="str">
        <f t="shared" ref="K23:P23" si="0">C23</f>
        <v>関心がある</v>
      </c>
      <c r="L23" s="61" t="str">
        <f t="shared" si="0"/>
        <v>どちらかといえば関心がある</v>
      </c>
      <c r="M23" s="62" t="str">
        <f t="shared" si="0"/>
        <v>どちらかといえば関心がない</v>
      </c>
      <c r="N23" s="61" t="str">
        <f t="shared" si="0"/>
        <v>関心がない</v>
      </c>
      <c r="O23" s="62" t="str">
        <f t="shared" si="0"/>
        <v>わからない</v>
      </c>
      <c r="P23" s="63" t="str">
        <f t="shared" si="0"/>
        <v>無回答</v>
      </c>
      <c r="Q23" s="46" t="s">
        <v>310</v>
      </c>
      <c r="R23" s="46" t="s">
        <v>309</v>
      </c>
      <c r="S23" s="51" t="s">
        <v>42</v>
      </c>
    </row>
    <row r="24" spans="1:19" ht="13.5" customHeight="1" x14ac:dyDescent="0.2">
      <c r="A24" s="275" t="str">
        <f>'問8M（表）'!A3</f>
        <v>全体(n = 1,616 )　　</v>
      </c>
      <c r="B24" s="227" t="str">
        <f>'問8M（表）'!B3</f>
        <v>1,616</v>
      </c>
      <c r="C24" s="31">
        <v>136</v>
      </c>
      <c r="D24" s="32">
        <v>624</v>
      </c>
      <c r="E24" s="32">
        <v>523</v>
      </c>
      <c r="F24" s="32">
        <v>161</v>
      </c>
      <c r="G24" s="32">
        <v>164</v>
      </c>
      <c r="H24" s="33">
        <v>7</v>
      </c>
      <c r="I24" s="7"/>
      <c r="J24" s="67" t="str">
        <f>A24</f>
        <v>全体(n = 1,616 )　　</v>
      </c>
      <c r="K24" s="70">
        <f t="shared" ref="K24:P24" si="1">C25</f>
        <v>8.4158415841584162</v>
      </c>
      <c r="L24" s="71">
        <f t="shared" si="1"/>
        <v>38.613861386138616</v>
      </c>
      <c r="M24" s="72">
        <f t="shared" si="1"/>
        <v>32.363861386138616</v>
      </c>
      <c r="N24" s="71">
        <f t="shared" si="1"/>
        <v>9.9628712871287135</v>
      </c>
      <c r="O24" s="72">
        <f t="shared" si="1"/>
        <v>10.14851485148515</v>
      </c>
      <c r="P24" s="73">
        <f t="shared" si="1"/>
        <v>0.43316831683168322</v>
      </c>
      <c r="Q24" s="47">
        <f>K24+L24</f>
        <v>47.029702970297031</v>
      </c>
      <c r="R24" s="47">
        <f>M24+N24</f>
        <v>42.32673267326733</v>
      </c>
      <c r="S24" s="49">
        <f>Q24-R24</f>
        <v>4.7029702970297009</v>
      </c>
    </row>
    <row r="25" spans="1:19" ht="13.5" customHeight="1" x14ac:dyDescent="0.2">
      <c r="A25" s="276"/>
      <c r="B25" s="35">
        <f>'問8M（表）'!B4</f>
        <v>100</v>
      </c>
      <c r="C25" s="20">
        <f t="shared" ref="C25:H25" si="2">C24/$B$24*100</f>
        <v>8.4158415841584162</v>
      </c>
      <c r="D25" s="207">
        <f t="shared" si="2"/>
        <v>38.613861386138616</v>
      </c>
      <c r="E25" s="207">
        <f t="shared" si="2"/>
        <v>32.363861386138616</v>
      </c>
      <c r="F25" s="207">
        <f t="shared" si="2"/>
        <v>9.9628712871287135</v>
      </c>
      <c r="G25" s="207">
        <f t="shared" si="2"/>
        <v>10.14851485148515</v>
      </c>
      <c r="H25" s="208">
        <f t="shared" si="2"/>
        <v>0.43316831683168322</v>
      </c>
      <c r="I25" s="7"/>
      <c r="J25" s="68" t="str">
        <f>A26</f>
        <v>男性(n = 705 )　　</v>
      </c>
      <c r="K25" s="74">
        <f t="shared" ref="K25:P25" si="3">C27</f>
        <v>9.787234042553191</v>
      </c>
      <c r="L25" s="75">
        <f t="shared" si="3"/>
        <v>37.872340425531917</v>
      </c>
      <c r="M25" s="76">
        <f t="shared" si="3"/>
        <v>32.765957446808507</v>
      </c>
      <c r="N25" s="75">
        <f t="shared" si="3"/>
        <v>12.198581560283687</v>
      </c>
      <c r="O25" s="76">
        <f t="shared" si="3"/>
        <v>6.9503546099290787</v>
      </c>
      <c r="P25" s="77">
        <f t="shared" si="3"/>
        <v>0.42553191489361702</v>
      </c>
      <c r="Q25" s="24">
        <f>K25+L25</f>
        <v>47.659574468085111</v>
      </c>
      <c r="R25" s="47">
        <f>M25+N25</f>
        <v>44.964539007092192</v>
      </c>
      <c r="S25" s="25">
        <f>Q25-R25</f>
        <v>2.6950354609929192</v>
      </c>
    </row>
    <row r="26" spans="1:19" ht="13.5" customHeight="1" x14ac:dyDescent="0.2">
      <c r="A26" s="275" t="str">
        <f>'問8M（表）'!A5</f>
        <v>男性(n = 705 )　　</v>
      </c>
      <c r="B26" s="34">
        <f>'問8M（表）'!B5</f>
        <v>705</v>
      </c>
      <c r="C26" s="28">
        <v>69</v>
      </c>
      <c r="D26" s="29">
        <v>267</v>
      </c>
      <c r="E26" s="29">
        <v>231</v>
      </c>
      <c r="F26" s="29">
        <v>86</v>
      </c>
      <c r="G26" s="29">
        <v>49</v>
      </c>
      <c r="H26" s="30">
        <v>3</v>
      </c>
      <c r="J26" s="69" t="str">
        <f>A28</f>
        <v>女性(n = 901 )　　</v>
      </c>
      <c r="K26" s="78">
        <f t="shared" ref="K26:P26" si="4">C29</f>
        <v>7.3251942286348504</v>
      </c>
      <c r="L26" s="79">
        <f t="shared" si="4"/>
        <v>39.289678135405104</v>
      </c>
      <c r="M26" s="80">
        <f t="shared" si="4"/>
        <v>32.297447280799112</v>
      </c>
      <c r="N26" s="79">
        <f t="shared" si="4"/>
        <v>7.9911209766925646</v>
      </c>
      <c r="O26" s="80">
        <f t="shared" si="4"/>
        <v>12.652608213096558</v>
      </c>
      <c r="P26" s="81">
        <f t="shared" si="4"/>
        <v>0.44395116537180912</v>
      </c>
      <c r="Q26" s="24">
        <f>K26+L26</f>
        <v>46.614872364039954</v>
      </c>
      <c r="R26" s="47">
        <f>M26+N26</f>
        <v>40.288568257491676</v>
      </c>
      <c r="S26" s="25">
        <f>Q26-R26</f>
        <v>6.3263041065482781</v>
      </c>
    </row>
    <row r="27" spans="1:19" x14ac:dyDescent="0.2">
      <c r="A27" s="276"/>
      <c r="B27" s="35">
        <f>'問8M（表）'!B6</f>
        <v>43.626237623762378</v>
      </c>
      <c r="C27" s="20">
        <f t="shared" ref="C27:H27" si="5">C26/$B$26*100</f>
        <v>9.787234042553191</v>
      </c>
      <c r="D27" s="207">
        <f t="shared" si="5"/>
        <v>37.872340425531917</v>
      </c>
      <c r="E27" s="207">
        <f t="shared" si="5"/>
        <v>32.765957446808507</v>
      </c>
      <c r="F27" s="207">
        <f t="shared" si="5"/>
        <v>12.198581560283687</v>
      </c>
      <c r="G27" s="207">
        <f t="shared" si="5"/>
        <v>6.9503546099290787</v>
      </c>
      <c r="H27" s="208">
        <f t="shared" si="5"/>
        <v>0.42553191489361702</v>
      </c>
      <c r="Q27" s="188">
        <f>Q25-Q26</f>
        <v>1.0447021040451574</v>
      </c>
    </row>
    <row r="28" spans="1:19" ht="13.5" customHeight="1" x14ac:dyDescent="0.2">
      <c r="A28" s="275" t="str">
        <f>'問8M（表）'!A7</f>
        <v>女性(n = 901 )　　</v>
      </c>
      <c r="B28" s="34">
        <f>'問8M（表）'!B7</f>
        <v>901</v>
      </c>
      <c r="C28" s="28">
        <v>66</v>
      </c>
      <c r="D28" s="29">
        <v>354</v>
      </c>
      <c r="E28" s="29">
        <v>291</v>
      </c>
      <c r="F28" s="29">
        <v>72</v>
      </c>
      <c r="G28" s="29">
        <v>114</v>
      </c>
      <c r="H28" s="30">
        <v>4</v>
      </c>
    </row>
    <row r="29" spans="1:19" x14ac:dyDescent="0.2">
      <c r="A29" s="276"/>
      <c r="B29" s="35">
        <f>'問8M（表）'!B8</f>
        <v>55.754950495049506</v>
      </c>
      <c r="C29" s="20">
        <f t="shared" ref="C29:H29" si="6">C28/$B$28*100</f>
        <v>7.3251942286348504</v>
      </c>
      <c r="D29" s="207">
        <f t="shared" si="6"/>
        <v>39.289678135405104</v>
      </c>
      <c r="E29" s="207">
        <f t="shared" si="6"/>
        <v>32.297447280799112</v>
      </c>
      <c r="F29" s="207">
        <f t="shared" si="6"/>
        <v>7.9911209766925646</v>
      </c>
      <c r="G29" s="207">
        <f t="shared" si="6"/>
        <v>12.652608213096558</v>
      </c>
      <c r="H29" s="208">
        <f t="shared" si="6"/>
        <v>0.44395116537180912</v>
      </c>
    </row>
    <row r="30" spans="1:19" s="186" customFormat="1" x14ac:dyDescent="0.2">
      <c r="A30" s="184"/>
      <c r="B30" s="182"/>
      <c r="C30" s="182">
        <v>1</v>
      </c>
      <c r="D30" s="182">
        <v>2</v>
      </c>
      <c r="E30" s="182">
        <v>3</v>
      </c>
      <c r="F30" s="182">
        <v>4</v>
      </c>
      <c r="G30" s="182">
        <v>5</v>
      </c>
      <c r="H30" s="182"/>
      <c r="I30" s="182"/>
      <c r="J30" s="182"/>
      <c r="K30" s="182"/>
      <c r="L30" s="182"/>
      <c r="M30" s="182"/>
      <c r="N30" s="182"/>
      <c r="O30" s="226"/>
    </row>
    <row r="32" spans="1:19" x14ac:dyDescent="0.2">
      <c r="A32" s="3" t="s">
        <v>313</v>
      </c>
      <c r="B32" s="1" t="str">
        <f>B22</f>
        <v>県事業への関心の有無</v>
      </c>
      <c r="C32" s="8"/>
      <c r="D32" s="8"/>
      <c r="E32" s="8"/>
      <c r="F32" s="8"/>
      <c r="G32" s="9" t="s">
        <v>1</v>
      </c>
      <c r="H32" s="9"/>
    </row>
    <row r="33" spans="1:19" ht="43.2" x14ac:dyDescent="0.2">
      <c r="A33" s="12" t="s">
        <v>25</v>
      </c>
      <c r="B33" s="59" t="str">
        <f>B23</f>
        <v>調査数</v>
      </c>
      <c r="C33" s="60" t="str">
        <f>C23</f>
        <v>関心がある</v>
      </c>
      <c r="D33" s="61" t="str">
        <f>D23</f>
        <v>どちらかといえば関心がある</v>
      </c>
      <c r="E33" s="62" t="str">
        <f>E23</f>
        <v>どちらかといえば関心がない</v>
      </c>
      <c r="F33" s="61" t="str">
        <f>F23</f>
        <v>関心がない</v>
      </c>
      <c r="G33" s="62" t="str">
        <f>G23</f>
        <v>わからない</v>
      </c>
      <c r="H33" s="63" t="s">
        <v>0</v>
      </c>
      <c r="I33" s="21" t="s">
        <v>32</v>
      </c>
      <c r="J33" s="12" t="str">
        <f>A33</f>
        <v>【年代別】</v>
      </c>
      <c r="K33" s="60" t="str">
        <f t="shared" ref="K33:P33" si="7">C33</f>
        <v>関心がある</v>
      </c>
      <c r="L33" s="61" t="str">
        <f t="shared" si="7"/>
        <v>どちらかといえば関心がある</v>
      </c>
      <c r="M33" s="62" t="str">
        <f t="shared" si="7"/>
        <v>どちらかといえば関心がない</v>
      </c>
      <c r="N33" s="61" t="str">
        <f t="shared" si="7"/>
        <v>関心がない</v>
      </c>
      <c r="O33" s="62" t="str">
        <f t="shared" si="7"/>
        <v>わからない</v>
      </c>
      <c r="P33" s="63" t="str">
        <f t="shared" si="7"/>
        <v>無回答</v>
      </c>
      <c r="Q33" s="46" t="s">
        <v>310</v>
      </c>
      <c r="R33" s="46" t="s">
        <v>309</v>
      </c>
      <c r="S33" s="51" t="s">
        <v>42</v>
      </c>
    </row>
    <row r="34" spans="1:19" ht="13.5" customHeight="1" x14ac:dyDescent="0.2">
      <c r="A34" s="275" t="str">
        <f>'問8M（表）'!A23</f>
        <v>全体(n = 1,616 )　　</v>
      </c>
      <c r="B34" s="227" t="str">
        <f>'問8M（表）'!B23</f>
        <v>1,616</v>
      </c>
      <c r="C34" s="31">
        <f>$C$24</f>
        <v>136</v>
      </c>
      <c r="D34" s="32">
        <f>$D$24</f>
        <v>624</v>
      </c>
      <c r="E34" s="32">
        <f>$E$24</f>
        <v>523</v>
      </c>
      <c r="F34" s="32">
        <f>$F$24</f>
        <v>161</v>
      </c>
      <c r="G34" s="32">
        <f>$G$24</f>
        <v>164</v>
      </c>
      <c r="H34" s="33">
        <f>$H$24</f>
        <v>7</v>
      </c>
      <c r="J34" s="67" t="str">
        <f>A34</f>
        <v>全体(n = 1,616 )　　</v>
      </c>
      <c r="K34" s="70">
        <f t="shared" ref="K34:P34" si="8">C35</f>
        <v>8.4158415841584162</v>
      </c>
      <c r="L34" s="71">
        <f t="shared" si="8"/>
        <v>38.613861386138616</v>
      </c>
      <c r="M34" s="72">
        <f t="shared" si="8"/>
        <v>32.363861386138616</v>
      </c>
      <c r="N34" s="71">
        <f t="shared" si="8"/>
        <v>9.9628712871287135</v>
      </c>
      <c r="O34" s="72">
        <f t="shared" si="8"/>
        <v>10.14851485148515</v>
      </c>
      <c r="P34" s="73">
        <f t="shared" si="8"/>
        <v>0.43316831683168322</v>
      </c>
      <c r="Q34" s="47">
        <f t="shared" ref="Q34:Q41" si="9">K34+L34</f>
        <v>47.029702970297031</v>
      </c>
      <c r="R34" s="47">
        <f t="shared" ref="R34:R41" si="10">M34+N34</f>
        <v>42.32673267326733</v>
      </c>
      <c r="S34" s="49">
        <f t="shared" ref="S34:S41" si="11">Q34-R34</f>
        <v>4.7029702970297009</v>
      </c>
    </row>
    <row r="35" spans="1:19" ht="13.5" customHeight="1" x14ac:dyDescent="0.2">
      <c r="A35" s="276"/>
      <c r="B35" s="35">
        <f>'問8M（表）'!B24</f>
        <v>100</v>
      </c>
      <c r="C35" s="20">
        <f t="shared" ref="C35:H35" si="12">C34/$B$34*100</f>
        <v>8.4158415841584162</v>
      </c>
      <c r="D35" s="207">
        <f t="shared" si="12"/>
        <v>38.613861386138616</v>
      </c>
      <c r="E35" s="207">
        <f t="shared" si="12"/>
        <v>32.363861386138616</v>
      </c>
      <c r="F35" s="207">
        <f t="shared" si="12"/>
        <v>9.9628712871287135</v>
      </c>
      <c r="G35" s="207">
        <f t="shared" si="12"/>
        <v>10.14851485148515</v>
      </c>
      <c r="H35" s="208">
        <f t="shared" si="12"/>
        <v>0.43316831683168322</v>
      </c>
      <c r="J35" s="82" t="str">
        <f>A36</f>
        <v>18～19歳(n = 21 )　　</v>
      </c>
      <c r="K35" s="84">
        <f t="shared" ref="K35:P35" si="13">C37</f>
        <v>4.7619047619047619</v>
      </c>
      <c r="L35" s="85">
        <f t="shared" si="13"/>
        <v>28.571428571428569</v>
      </c>
      <c r="M35" s="86">
        <f t="shared" si="13"/>
        <v>33.333333333333329</v>
      </c>
      <c r="N35" s="85">
        <f t="shared" si="13"/>
        <v>19.047619047619047</v>
      </c>
      <c r="O35" s="86">
        <f t="shared" si="13"/>
        <v>14.285714285714285</v>
      </c>
      <c r="P35" s="87">
        <f t="shared" si="13"/>
        <v>0</v>
      </c>
      <c r="Q35" s="24">
        <f t="shared" si="9"/>
        <v>33.333333333333329</v>
      </c>
      <c r="R35" s="24">
        <f t="shared" si="10"/>
        <v>52.38095238095238</v>
      </c>
      <c r="S35" s="25">
        <f t="shared" si="11"/>
        <v>-19.047619047619051</v>
      </c>
    </row>
    <row r="36" spans="1:19" ht="13.5" customHeight="1" x14ac:dyDescent="0.2">
      <c r="A36" s="275" t="str">
        <f>'問8M（表）'!A25</f>
        <v>18～19歳(n = 21 )　　</v>
      </c>
      <c r="B36" s="34">
        <f>'問8M（表）'!B25</f>
        <v>21</v>
      </c>
      <c r="C36" s="28">
        <v>1</v>
      </c>
      <c r="D36" s="29">
        <v>6</v>
      </c>
      <c r="E36" s="29">
        <v>7</v>
      </c>
      <c r="F36" s="29">
        <v>4</v>
      </c>
      <c r="G36" s="29">
        <v>3</v>
      </c>
      <c r="H36" s="30">
        <v>0</v>
      </c>
      <c r="J36" s="83" t="str">
        <f>A38</f>
        <v>20～29歳(n = 119 )　　</v>
      </c>
      <c r="K36" s="88">
        <f t="shared" ref="K36:P36" si="14">C39</f>
        <v>5.8823529411764701</v>
      </c>
      <c r="L36" s="89">
        <f t="shared" si="14"/>
        <v>26.05042016806723</v>
      </c>
      <c r="M36" s="90">
        <f t="shared" si="14"/>
        <v>36.97478991596639</v>
      </c>
      <c r="N36" s="89">
        <f t="shared" si="14"/>
        <v>20.168067226890756</v>
      </c>
      <c r="O36" s="90">
        <f t="shared" si="14"/>
        <v>10.92436974789916</v>
      </c>
      <c r="P36" s="91">
        <f t="shared" si="14"/>
        <v>0</v>
      </c>
      <c r="Q36" s="24">
        <f t="shared" si="9"/>
        <v>31.932773109243701</v>
      </c>
      <c r="R36" s="24">
        <f t="shared" si="10"/>
        <v>57.142857142857146</v>
      </c>
      <c r="S36" s="25">
        <f t="shared" si="11"/>
        <v>-25.210084033613445</v>
      </c>
    </row>
    <row r="37" spans="1:19" ht="13.5" customHeight="1" x14ac:dyDescent="0.2">
      <c r="A37" s="276"/>
      <c r="B37" s="35">
        <f>'問8M（表）'!B26</f>
        <v>1.2995049504950495</v>
      </c>
      <c r="C37" s="20">
        <f t="shared" ref="C37:H37" si="15">C36/$B$36*100</f>
        <v>4.7619047619047619</v>
      </c>
      <c r="D37" s="207">
        <f t="shared" si="15"/>
        <v>28.571428571428569</v>
      </c>
      <c r="E37" s="207">
        <f t="shared" si="15"/>
        <v>33.333333333333329</v>
      </c>
      <c r="F37" s="207">
        <f t="shared" si="15"/>
        <v>19.047619047619047</v>
      </c>
      <c r="G37" s="207">
        <f t="shared" si="15"/>
        <v>14.285714285714285</v>
      </c>
      <c r="H37" s="208">
        <f t="shared" si="15"/>
        <v>0</v>
      </c>
      <c r="J37" s="83" t="str">
        <f>A40</f>
        <v>30～39歳(n = 196 )　　</v>
      </c>
      <c r="K37" s="88">
        <f t="shared" ref="K37:P37" si="16">C41</f>
        <v>6.6326530612244898</v>
      </c>
      <c r="L37" s="89">
        <f t="shared" si="16"/>
        <v>36.734693877551024</v>
      </c>
      <c r="M37" s="90">
        <f t="shared" si="16"/>
        <v>34.693877551020407</v>
      </c>
      <c r="N37" s="89">
        <f t="shared" si="16"/>
        <v>11.73469387755102</v>
      </c>
      <c r="O37" s="90">
        <f t="shared" si="16"/>
        <v>10.204081632653061</v>
      </c>
      <c r="P37" s="91">
        <f t="shared" si="16"/>
        <v>0</v>
      </c>
      <c r="Q37" s="24">
        <f t="shared" si="9"/>
        <v>43.367346938775512</v>
      </c>
      <c r="R37" s="24">
        <f t="shared" si="10"/>
        <v>46.428571428571431</v>
      </c>
      <c r="S37" s="25">
        <f t="shared" si="11"/>
        <v>-3.0612244897959187</v>
      </c>
    </row>
    <row r="38" spans="1:19" ht="13.5" customHeight="1" x14ac:dyDescent="0.2">
      <c r="A38" s="275" t="str">
        <f>'問8M（表）'!A27</f>
        <v>20～29歳(n = 119 )　　</v>
      </c>
      <c r="B38" s="34">
        <f>'問8M（表）'!B27</f>
        <v>119</v>
      </c>
      <c r="C38" s="28">
        <v>7</v>
      </c>
      <c r="D38" s="29">
        <v>31</v>
      </c>
      <c r="E38" s="29">
        <v>44</v>
      </c>
      <c r="F38" s="29">
        <v>24</v>
      </c>
      <c r="G38" s="29">
        <v>13</v>
      </c>
      <c r="H38" s="30">
        <v>0</v>
      </c>
      <c r="J38" s="83" t="str">
        <f>A42</f>
        <v>40～49歳(n = 281 )　　</v>
      </c>
      <c r="K38" s="88">
        <f t="shared" ref="K38:P38" si="17">C43</f>
        <v>9.252669039145907</v>
      </c>
      <c r="L38" s="89">
        <f t="shared" si="17"/>
        <v>39.501779359430607</v>
      </c>
      <c r="M38" s="90">
        <f t="shared" si="17"/>
        <v>31.672597864768683</v>
      </c>
      <c r="N38" s="89">
        <f t="shared" si="17"/>
        <v>9.6085409252669027</v>
      </c>
      <c r="O38" s="90">
        <f t="shared" si="17"/>
        <v>9.6085409252669027</v>
      </c>
      <c r="P38" s="91">
        <f t="shared" si="17"/>
        <v>0.35587188612099641</v>
      </c>
      <c r="Q38" s="24">
        <f t="shared" si="9"/>
        <v>48.754448398576514</v>
      </c>
      <c r="R38" s="24">
        <f t="shared" si="10"/>
        <v>41.281138790035584</v>
      </c>
      <c r="S38" s="25">
        <f t="shared" si="11"/>
        <v>7.4733096085409301</v>
      </c>
    </row>
    <row r="39" spans="1:19" ht="13.5" customHeight="1" x14ac:dyDescent="0.2">
      <c r="A39" s="276"/>
      <c r="B39" s="35">
        <f>'問8M（表）'!B28</f>
        <v>7.3638613861386135</v>
      </c>
      <c r="C39" s="20">
        <f t="shared" ref="C39:H39" si="18">C38/$B$38*100</f>
        <v>5.8823529411764701</v>
      </c>
      <c r="D39" s="207">
        <f t="shared" si="18"/>
        <v>26.05042016806723</v>
      </c>
      <c r="E39" s="207">
        <f t="shared" si="18"/>
        <v>36.97478991596639</v>
      </c>
      <c r="F39" s="207">
        <f t="shared" si="18"/>
        <v>20.168067226890756</v>
      </c>
      <c r="G39" s="207">
        <f t="shared" si="18"/>
        <v>10.92436974789916</v>
      </c>
      <c r="H39" s="208">
        <f t="shared" si="18"/>
        <v>0</v>
      </c>
      <c r="J39" s="83" t="str">
        <f>A44</f>
        <v>50～59歳(n = 320 )　　</v>
      </c>
      <c r="K39" s="88">
        <f t="shared" ref="K39:P39" si="19">C45</f>
        <v>7.1874999999999991</v>
      </c>
      <c r="L39" s="89">
        <f t="shared" si="19"/>
        <v>40.625</v>
      </c>
      <c r="M39" s="90">
        <f t="shared" si="19"/>
        <v>35.9375</v>
      </c>
      <c r="N39" s="89">
        <f t="shared" si="19"/>
        <v>7.5</v>
      </c>
      <c r="O39" s="90">
        <f t="shared" si="19"/>
        <v>8.75</v>
      </c>
      <c r="P39" s="91">
        <f t="shared" si="19"/>
        <v>0</v>
      </c>
      <c r="Q39" s="24">
        <f t="shared" si="9"/>
        <v>47.8125</v>
      </c>
      <c r="R39" s="24">
        <f t="shared" si="10"/>
        <v>43.4375</v>
      </c>
      <c r="S39" s="25">
        <f t="shared" si="11"/>
        <v>4.375</v>
      </c>
    </row>
    <row r="40" spans="1:19" ht="13.5" customHeight="1" x14ac:dyDescent="0.2">
      <c r="A40" s="275" t="str">
        <f>'問8M（表）'!A29</f>
        <v>30～39歳(n = 196 )　　</v>
      </c>
      <c r="B40" s="34">
        <f>'問8M（表）'!B29</f>
        <v>196</v>
      </c>
      <c r="C40" s="28">
        <v>13</v>
      </c>
      <c r="D40" s="29">
        <v>72</v>
      </c>
      <c r="E40" s="29">
        <v>68</v>
      </c>
      <c r="F40" s="29">
        <v>23</v>
      </c>
      <c r="G40" s="29">
        <v>20</v>
      </c>
      <c r="H40" s="30">
        <v>0</v>
      </c>
      <c r="J40" s="83" t="str">
        <f>A46</f>
        <v>60～69歳(n = 352 )　　</v>
      </c>
      <c r="K40" s="88">
        <f t="shared" ref="K40:P40" si="20">C47</f>
        <v>8.8068181818181817</v>
      </c>
      <c r="L40" s="89">
        <f t="shared" si="20"/>
        <v>37.784090909090914</v>
      </c>
      <c r="M40" s="90">
        <f t="shared" si="20"/>
        <v>33.522727272727273</v>
      </c>
      <c r="N40" s="89">
        <f t="shared" si="20"/>
        <v>8.5227272727272716</v>
      </c>
      <c r="O40" s="90">
        <f t="shared" si="20"/>
        <v>10.795454545454545</v>
      </c>
      <c r="P40" s="91">
        <f t="shared" si="20"/>
        <v>0.56818181818181823</v>
      </c>
      <c r="Q40" s="24">
        <f t="shared" si="9"/>
        <v>46.590909090909093</v>
      </c>
      <c r="R40" s="24">
        <f t="shared" si="10"/>
        <v>42.045454545454547</v>
      </c>
      <c r="S40" s="25">
        <f t="shared" si="11"/>
        <v>4.5454545454545467</v>
      </c>
    </row>
    <row r="41" spans="1:19" ht="13.5" customHeight="1" x14ac:dyDescent="0.2">
      <c r="A41" s="276"/>
      <c r="B41" s="35">
        <f>'問8M（表）'!B30</f>
        <v>12.128712871287128</v>
      </c>
      <c r="C41" s="20">
        <f t="shared" ref="C41:H41" si="21">C40/$B$40*100</f>
        <v>6.6326530612244898</v>
      </c>
      <c r="D41" s="207">
        <f t="shared" si="21"/>
        <v>36.734693877551024</v>
      </c>
      <c r="E41" s="207">
        <f t="shared" si="21"/>
        <v>34.693877551020407</v>
      </c>
      <c r="F41" s="207">
        <f t="shared" si="21"/>
        <v>11.73469387755102</v>
      </c>
      <c r="G41" s="207">
        <f t="shared" si="21"/>
        <v>10.204081632653061</v>
      </c>
      <c r="H41" s="208">
        <f t="shared" si="21"/>
        <v>0</v>
      </c>
      <c r="J41" s="69" t="str">
        <f>A48</f>
        <v>70歳以上(n = 315 )　　</v>
      </c>
      <c r="K41" s="78">
        <f t="shared" ref="K41:P41" si="22">C49</f>
        <v>10.793650793650794</v>
      </c>
      <c r="L41" s="79">
        <f t="shared" si="22"/>
        <v>41.904761904761905</v>
      </c>
      <c r="M41" s="80">
        <f t="shared" si="22"/>
        <v>25.714285714285712</v>
      </c>
      <c r="N41" s="79">
        <f t="shared" si="22"/>
        <v>8.8888888888888893</v>
      </c>
      <c r="O41" s="80">
        <f t="shared" si="22"/>
        <v>11.111111111111111</v>
      </c>
      <c r="P41" s="81">
        <f t="shared" si="22"/>
        <v>1.5873015873015872</v>
      </c>
      <c r="Q41" s="24">
        <f t="shared" si="9"/>
        <v>52.698412698412696</v>
      </c>
      <c r="R41" s="24">
        <f t="shared" si="10"/>
        <v>34.603174603174601</v>
      </c>
      <c r="S41" s="25">
        <f t="shared" si="11"/>
        <v>18.095238095238095</v>
      </c>
    </row>
    <row r="42" spans="1:19" ht="13.5" customHeight="1" x14ac:dyDescent="0.2">
      <c r="A42" s="275" t="str">
        <f>'問8M（表）'!A31</f>
        <v>40～49歳(n = 281 )　　</v>
      </c>
      <c r="B42" s="34">
        <f>'問8M（表）'!B31</f>
        <v>281</v>
      </c>
      <c r="C42" s="28">
        <v>26</v>
      </c>
      <c r="D42" s="29">
        <v>111</v>
      </c>
      <c r="E42" s="29">
        <v>89</v>
      </c>
      <c r="F42" s="29">
        <v>27</v>
      </c>
      <c r="G42" s="29">
        <v>27</v>
      </c>
      <c r="H42" s="30">
        <v>1</v>
      </c>
      <c r="Q42" s="24"/>
      <c r="R42" s="24"/>
      <c r="S42" s="25"/>
    </row>
    <row r="43" spans="1:19" ht="13.5" customHeight="1" x14ac:dyDescent="0.2">
      <c r="A43" s="276"/>
      <c r="B43" s="35">
        <f>'問8M（表）'!B32</f>
        <v>17.388613861386137</v>
      </c>
      <c r="C43" s="20">
        <f t="shared" ref="C43:H43" si="23">C42/$B$42*100</f>
        <v>9.252669039145907</v>
      </c>
      <c r="D43" s="207">
        <f t="shared" si="23"/>
        <v>39.501779359430607</v>
      </c>
      <c r="E43" s="207">
        <f t="shared" si="23"/>
        <v>31.672597864768683</v>
      </c>
      <c r="F43" s="207">
        <f t="shared" si="23"/>
        <v>9.6085409252669027</v>
      </c>
      <c r="G43" s="207">
        <f t="shared" si="23"/>
        <v>9.6085409252669027</v>
      </c>
      <c r="H43" s="208">
        <f t="shared" si="23"/>
        <v>0.35587188612099641</v>
      </c>
    </row>
    <row r="44" spans="1:19" ht="13.5" customHeight="1" x14ac:dyDescent="0.2">
      <c r="A44" s="275" t="str">
        <f>'問8M（表）'!A33</f>
        <v>50～59歳(n = 320 )　　</v>
      </c>
      <c r="B44" s="34">
        <f>'問8M（表）'!B33</f>
        <v>320</v>
      </c>
      <c r="C44" s="28">
        <v>23</v>
      </c>
      <c r="D44" s="29">
        <v>130</v>
      </c>
      <c r="E44" s="29">
        <v>115</v>
      </c>
      <c r="F44" s="29">
        <v>24</v>
      </c>
      <c r="G44" s="29">
        <v>28</v>
      </c>
      <c r="H44" s="30">
        <v>0</v>
      </c>
    </row>
    <row r="45" spans="1:19" x14ac:dyDescent="0.2">
      <c r="A45" s="276"/>
      <c r="B45" s="35">
        <f>'問8M（表）'!B34</f>
        <v>19.801980198019802</v>
      </c>
      <c r="C45" s="20">
        <f t="shared" ref="C45:H45" si="24">C44/$B$44*100</f>
        <v>7.1874999999999991</v>
      </c>
      <c r="D45" s="207">
        <f t="shared" si="24"/>
        <v>40.625</v>
      </c>
      <c r="E45" s="207">
        <f t="shared" si="24"/>
        <v>35.9375</v>
      </c>
      <c r="F45" s="207">
        <f t="shared" si="24"/>
        <v>7.5</v>
      </c>
      <c r="G45" s="207">
        <f t="shared" si="24"/>
        <v>8.75</v>
      </c>
      <c r="H45" s="208">
        <f t="shared" si="24"/>
        <v>0</v>
      </c>
    </row>
    <row r="46" spans="1:19" x14ac:dyDescent="0.2">
      <c r="A46" s="275" t="str">
        <f>'問8M（表）'!A35</f>
        <v>60～69歳(n = 352 )　　</v>
      </c>
      <c r="B46" s="34">
        <f>'問8M（表）'!B35</f>
        <v>352</v>
      </c>
      <c r="C46" s="28">
        <v>31</v>
      </c>
      <c r="D46" s="29">
        <v>133</v>
      </c>
      <c r="E46" s="29">
        <v>118</v>
      </c>
      <c r="F46" s="29">
        <v>30</v>
      </c>
      <c r="G46" s="29">
        <v>38</v>
      </c>
      <c r="H46" s="30">
        <v>2</v>
      </c>
    </row>
    <row r="47" spans="1:19" x14ac:dyDescent="0.2">
      <c r="A47" s="276"/>
      <c r="B47" s="35">
        <f>'問8M（表）'!B36</f>
        <v>21.782178217821784</v>
      </c>
      <c r="C47" s="20">
        <f t="shared" ref="C47:H47" si="25">C46/$B$46*100</f>
        <v>8.8068181818181817</v>
      </c>
      <c r="D47" s="207">
        <f t="shared" si="25"/>
        <v>37.784090909090914</v>
      </c>
      <c r="E47" s="207">
        <f t="shared" si="25"/>
        <v>33.522727272727273</v>
      </c>
      <c r="F47" s="207">
        <f t="shared" si="25"/>
        <v>8.5227272727272716</v>
      </c>
      <c r="G47" s="207">
        <f t="shared" si="25"/>
        <v>10.795454545454545</v>
      </c>
      <c r="H47" s="208">
        <f t="shared" si="25"/>
        <v>0.56818181818181823</v>
      </c>
    </row>
    <row r="48" spans="1:19" x14ac:dyDescent="0.2">
      <c r="A48" s="275" t="str">
        <f>'問8M（表）'!A37</f>
        <v>70歳以上(n = 315 )　　</v>
      </c>
      <c r="B48" s="34">
        <f>'問8M（表）'!B37</f>
        <v>315</v>
      </c>
      <c r="C48" s="28">
        <v>34</v>
      </c>
      <c r="D48" s="29">
        <v>132</v>
      </c>
      <c r="E48" s="29">
        <v>81</v>
      </c>
      <c r="F48" s="29">
        <v>28</v>
      </c>
      <c r="G48" s="29">
        <v>35</v>
      </c>
      <c r="H48" s="30">
        <v>5</v>
      </c>
    </row>
    <row r="49" spans="1:19" x14ac:dyDescent="0.2">
      <c r="A49" s="276"/>
      <c r="B49" s="35">
        <f>'問8M（表）'!B38</f>
        <v>19.492574257425744</v>
      </c>
      <c r="C49" s="20">
        <f t="shared" ref="C49:H49" si="26">C48/$B$48*100</f>
        <v>10.793650793650794</v>
      </c>
      <c r="D49" s="207">
        <f t="shared" si="26"/>
        <v>41.904761904761905</v>
      </c>
      <c r="E49" s="207">
        <f t="shared" si="26"/>
        <v>25.714285714285712</v>
      </c>
      <c r="F49" s="207">
        <f t="shared" si="26"/>
        <v>8.8888888888888893</v>
      </c>
      <c r="G49" s="207">
        <f t="shared" si="26"/>
        <v>11.111111111111111</v>
      </c>
      <c r="H49" s="208">
        <f t="shared" si="26"/>
        <v>1.5873015873015872</v>
      </c>
    </row>
    <row r="50" spans="1:19" x14ac:dyDescent="0.2">
      <c r="D50" s="166"/>
      <c r="E50" s="166"/>
    </row>
    <row r="51" spans="1:19" ht="13.5" customHeight="1" x14ac:dyDescent="0.2">
      <c r="A51" s="3" t="s">
        <v>312</v>
      </c>
      <c r="B51" s="1" t="str">
        <f>B32</f>
        <v>県事業への関心の有無</v>
      </c>
      <c r="C51" s="8"/>
      <c r="D51" s="8"/>
      <c r="E51" s="8"/>
      <c r="F51" s="8"/>
      <c r="G51" s="9" t="s">
        <v>1</v>
      </c>
      <c r="H51" s="9"/>
    </row>
    <row r="52" spans="1:19" ht="33.75" customHeight="1" x14ac:dyDescent="0.2">
      <c r="A52" s="13" t="s">
        <v>27</v>
      </c>
      <c r="B52" s="59" t="str">
        <f>B33</f>
        <v>調査数</v>
      </c>
      <c r="C52" s="60" t="str">
        <f t="shared" ref="C52:H52" si="27">C33</f>
        <v>関心がある</v>
      </c>
      <c r="D52" s="61" t="str">
        <f t="shared" si="27"/>
        <v>どちらかといえば関心がある</v>
      </c>
      <c r="E52" s="62" t="str">
        <f t="shared" si="27"/>
        <v>どちらかといえば関心がない</v>
      </c>
      <c r="F52" s="61" t="str">
        <f t="shared" si="27"/>
        <v>関心がない</v>
      </c>
      <c r="G52" s="62" t="str">
        <f t="shared" si="27"/>
        <v>わからない</v>
      </c>
      <c r="H52" s="63" t="str">
        <f t="shared" si="27"/>
        <v>無回答</v>
      </c>
      <c r="I52" s="21" t="s">
        <v>32</v>
      </c>
      <c r="J52" s="12" t="str">
        <f>A52</f>
        <v>【居住圏域別】</v>
      </c>
      <c r="K52" s="60" t="str">
        <f t="shared" ref="K52:P52" si="28">C52</f>
        <v>関心がある</v>
      </c>
      <c r="L52" s="61" t="str">
        <f t="shared" si="28"/>
        <v>どちらかといえば関心がある</v>
      </c>
      <c r="M52" s="62" t="str">
        <f t="shared" si="28"/>
        <v>どちらかといえば関心がない</v>
      </c>
      <c r="N52" s="61" t="str">
        <f t="shared" si="28"/>
        <v>関心がない</v>
      </c>
      <c r="O52" s="62" t="str">
        <f t="shared" si="28"/>
        <v>わからない</v>
      </c>
      <c r="P52" s="63" t="str">
        <f t="shared" si="28"/>
        <v>無回答</v>
      </c>
      <c r="Q52" s="46" t="s">
        <v>310</v>
      </c>
      <c r="R52" s="46" t="s">
        <v>309</v>
      </c>
      <c r="S52" s="51" t="s">
        <v>42</v>
      </c>
    </row>
    <row r="53" spans="1:19" ht="13.5" customHeight="1" x14ac:dyDescent="0.2">
      <c r="A53" s="275" t="str">
        <f>'問8M（表）'!A63</f>
        <v>全体(n = 1,616 )　　</v>
      </c>
      <c r="B53" s="227" t="str">
        <f>'問8M（表）'!B63</f>
        <v>1,616</v>
      </c>
      <c r="C53" s="31">
        <f>$C$24</f>
        <v>136</v>
      </c>
      <c r="D53" s="32">
        <f>$D$24</f>
        <v>624</v>
      </c>
      <c r="E53" s="32">
        <f>$E$24</f>
        <v>523</v>
      </c>
      <c r="F53" s="32">
        <f>$F$24</f>
        <v>161</v>
      </c>
      <c r="G53" s="32">
        <f>$G$24</f>
        <v>164</v>
      </c>
      <c r="H53" s="33">
        <f>$H$24</f>
        <v>7</v>
      </c>
      <c r="J53" s="67" t="str">
        <f>A53</f>
        <v>全体(n = 1,616 )　　</v>
      </c>
      <c r="K53" s="70">
        <f t="shared" ref="K53:P53" si="29">C54</f>
        <v>8.4158415841584162</v>
      </c>
      <c r="L53" s="71">
        <f t="shared" si="29"/>
        <v>38.613861386138616</v>
      </c>
      <c r="M53" s="72">
        <f t="shared" si="29"/>
        <v>32.363861386138616</v>
      </c>
      <c r="N53" s="71">
        <f t="shared" si="29"/>
        <v>9.9628712871287135</v>
      </c>
      <c r="O53" s="72">
        <f t="shared" si="29"/>
        <v>10.14851485148515</v>
      </c>
      <c r="P53" s="73">
        <f t="shared" si="29"/>
        <v>0.43316831683168322</v>
      </c>
      <c r="Q53" s="47">
        <f t="shared" ref="Q53:Q58" si="30">K53+L53</f>
        <v>47.029702970297031</v>
      </c>
      <c r="R53" s="47">
        <f t="shared" ref="R53:R58" si="31">M53+N53</f>
        <v>42.32673267326733</v>
      </c>
      <c r="S53" s="49">
        <f t="shared" ref="S53:S58" si="32">Q53-R53</f>
        <v>4.7029702970297009</v>
      </c>
    </row>
    <row r="54" spans="1:19" ht="13.5" customHeight="1" x14ac:dyDescent="0.2">
      <c r="A54" s="276"/>
      <c r="B54" s="35">
        <f>'問8M（表）'!B64</f>
        <v>100</v>
      </c>
      <c r="C54" s="20">
        <f t="shared" ref="C54:H54" si="33">C53/$B$34*100</f>
        <v>8.4158415841584162</v>
      </c>
      <c r="D54" s="207">
        <f t="shared" si="33"/>
        <v>38.613861386138616</v>
      </c>
      <c r="E54" s="207">
        <f t="shared" si="33"/>
        <v>32.363861386138616</v>
      </c>
      <c r="F54" s="207">
        <f t="shared" si="33"/>
        <v>9.9628712871287135</v>
      </c>
      <c r="G54" s="207">
        <f t="shared" si="33"/>
        <v>10.14851485148515</v>
      </c>
      <c r="H54" s="208">
        <f t="shared" si="33"/>
        <v>0.43316831683168322</v>
      </c>
      <c r="J54" s="82" t="str">
        <f>A55</f>
        <v>岐阜圏域(n = 617 )　　</v>
      </c>
      <c r="K54" s="84">
        <f t="shared" ref="K54:P54" si="34">C56</f>
        <v>10.210696920583469</v>
      </c>
      <c r="L54" s="85">
        <f t="shared" si="34"/>
        <v>37.925445705024316</v>
      </c>
      <c r="M54" s="86">
        <f t="shared" si="34"/>
        <v>29.983792544570502</v>
      </c>
      <c r="N54" s="85">
        <f t="shared" si="34"/>
        <v>9.7244732576985413</v>
      </c>
      <c r="O54" s="86">
        <f t="shared" si="34"/>
        <v>11.507293354943274</v>
      </c>
      <c r="P54" s="87">
        <f t="shared" si="34"/>
        <v>0.64829821717990277</v>
      </c>
      <c r="Q54" s="24">
        <f t="shared" si="30"/>
        <v>48.136142625607789</v>
      </c>
      <c r="R54" s="24">
        <f t="shared" si="31"/>
        <v>39.70826580226904</v>
      </c>
      <c r="S54" s="25">
        <f t="shared" si="32"/>
        <v>8.4278768233387495</v>
      </c>
    </row>
    <row r="55" spans="1:19" ht="13.5" customHeight="1" x14ac:dyDescent="0.2">
      <c r="A55" s="275" t="str">
        <f>'問8M（表）'!A65</f>
        <v>岐阜圏域(n = 617 )　　</v>
      </c>
      <c r="B55" s="34">
        <f>'問8M（表）'!B65</f>
        <v>617</v>
      </c>
      <c r="C55" s="28">
        <v>63</v>
      </c>
      <c r="D55" s="29">
        <v>234</v>
      </c>
      <c r="E55" s="29">
        <v>185</v>
      </c>
      <c r="F55" s="29">
        <v>60</v>
      </c>
      <c r="G55" s="29">
        <v>71</v>
      </c>
      <c r="H55" s="30">
        <v>4</v>
      </c>
      <c r="I55" s="170">
        <v>1</v>
      </c>
      <c r="J55" s="83" t="str">
        <f>A57</f>
        <v>西濃圏域(n = 290 )　　</v>
      </c>
      <c r="K55" s="88">
        <f t="shared" ref="K55:P55" si="35">C58</f>
        <v>7.2413793103448283</v>
      </c>
      <c r="L55" s="89">
        <f t="shared" si="35"/>
        <v>45.172413793103452</v>
      </c>
      <c r="M55" s="90">
        <f t="shared" si="35"/>
        <v>32.068965517241374</v>
      </c>
      <c r="N55" s="89">
        <f t="shared" si="35"/>
        <v>7.2413793103448283</v>
      </c>
      <c r="O55" s="90">
        <f t="shared" si="35"/>
        <v>8.2758620689655178</v>
      </c>
      <c r="P55" s="91">
        <f t="shared" si="35"/>
        <v>0</v>
      </c>
      <c r="Q55" s="24">
        <f t="shared" si="30"/>
        <v>52.413793103448278</v>
      </c>
      <c r="R55" s="24">
        <f t="shared" si="31"/>
        <v>39.310344827586199</v>
      </c>
      <c r="S55" s="25">
        <f t="shared" si="32"/>
        <v>13.103448275862078</v>
      </c>
    </row>
    <row r="56" spans="1:19" ht="13.5" customHeight="1" x14ac:dyDescent="0.2">
      <c r="A56" s="276"/>
      <c r="B56" s="35">
        <f>'問8M（表）'!B66</f>
        <v>38.180693069306933</v>
      </c>
      <c r="C56" s="20">
        <f t="shared" ref="C56:H56" si="36">C55/$B$55*100</f>
        <v>10.210696920583469</v>
      </c>
      <c r="D56" s="207">
        <f t="shared" si="36"/>
        <v>37.925445705024316</v>
      </c>
      <c r="E56" s="207">
        <f t="shared" si="36"/>
        <v>29.983792544570502</v>
      </c>
      <c r="F56" s="207">
        <f t="shared" si="36"/>
        <v>9.7244732576985413</v>
      </c>
      <c r="G56" s="207">
        <f t="shared" si="36"/>
        <v>11.507293354943274</v>
      </c>
      <c r="H56" s="208">
        <f t="shared" si="36"/>
        <v>0.64829821717990277</v>
      </c>
      <c r="I56" s="2"/>
      <c r="J56" s="83" t="str">
        <f>A59</f>
        <v>中濃圏域(n = 300 )　　</v>
      </c>
      <c r="K56" s="88">
        <f t="shared" ref="K56:P56" si="37">C60</f>
        <v>7.0000000000000009</v>
      </c>
      <c r="L56" s="89">
        <f t="shared" si="37"/>
        <v>35.666666666666671</v>
      </c>
      <c r="M56" s="90">
        <f t="shared" si="37"/>
        <v>37.333333333333336</v>
      </c>
      <c r="N56" s="89">
        <f t="shared" si="37"/>
        <v>8.6666666666666679</v>
      </c>
      <c r="O56" s="90">
        <f t="shared" si="37"/>
        <v>11</v>
      </c>
      <c r="P56" s="91">
        <f t="shared" si="37"/>
        <v>0.33333333333333337</v>
      </c>
      <c r="Q56" s="24">
        <f t="shared" si="30"/>
        <v>42.666666666666671</v>
      </c>
      <c r="R56" s="24">
        <f t="shared" si="31"/>
        <v>46</v>
      </c>
      <c r="S56" s="25">
        <f t="shared" si="32"/>
        <v>-3.3333333333333286</v>
      </c>
    </row>
    <row r="57" spans="1:19" ht="13.5" customHeight="1" x14ac:dyDescent="0.2">
      <c r="A57" s="275" t="str">
        <f>'問8M（表）'!A67</f>
        <v>西濃圏域(n = 290 )　　</v>
      </c>
      <c r="B57" s="34">
        <f>'問8M（表）'!B67</f>
        <v>290</v>
      </c>
      <c r="C57" s="28">
        <v>21</v>
      </c>
      <c r="D57" s="29">
        <v>131</v>
      </c>
      <c r="E57" s="29">
        <v>93</v>
      </c>
      <c r="F57" s="29">
        <v>21</v>
      </c>
      <c r="G57" s="29">
        <v>24</v>
      </c>
      <c r="H57" s="30">
        <v>0</v>
      </c>
      <c r="I57" s="170">
        <v>2</v>
      </c>
      <c r="J57" s="83" t="str">
        <f>A61</f>
        <v>東濃圏域(n = 271 )　　</v>
      </c>
      <c r="K57" s="88">
        <f t="shared" ref="K57:P57" si="38">C62</f>
        <v>7.3800738007380069</v>
      </c>
      <c r="L57" s="89">
        <f t="shared" si="38"/>
        <v>36.900369003690038</v>
      </c>
      <c r="M57" s="90">
        <f t="shared" si="38"/>
        <v>30.258302583025831</v>
      </c>
      <c r="N57" s="89">
        <f t="shared" si="38"/>
        <v>14.760147601476014</v>
      </c>
      <c r="O57" s="90">
        <f t="shared" si="38"/>
        <v>9.9630996309963091</v>
      </c>
      <c r="P57" s="91">
        <f t="shared" si="38"/>
        <v>0.73800738007380073</v>
      </c>
      <c r="Q57" s="24">
        <f t="shared" si="30"/>
        <v>44.280442804428048</v>
      </c>
      <c r="R57" s="24">
        <f t="shared" si="31"/>
        <v>45.018450184501845</v>
      </c>
      <c r="S57" s="25">
        <f t="shared" si="32"/>
        <v>-0.73800738007379607</v>
      </c>
    </row>
    <row r="58" spans="1:19" ht="13.5" customHeight="1" x14ac:dyDescent="0.2">
      <c r="A58" s="276"/>
      <c r="B58" s="35">
        <f>'問8M（表）'!B68</f>
        <v>17.945544554455445</v>
      </c>
      <c r="C58" s="20">
        <f t="shared" ref="C58:H58" si="39">C57/$B$57*100</f>
        <v>7.2413793103448283</v>
      </c>
      <c r="D58" s="207">
        <f t="shared" si="39"/>
        <v>45.172413793103452</v>
      </c>
      <c r="E58" s="207">
        <f t="shared" si="39"/>
        <v>32.068965517241374</v>
      </c>
      <c r="F58" s="207">
        <f t="shared" si="39"/>
        <v>7.2413793103448283</v>
      </c>
      <c r="G58" s="207">
        <f t="shared" si="39"/>
        <v>8.2758620689655178</v>
      </c>
      <c r="H58" s="208">
        <f t="shared" si="39"/>
        <v>0</v>
      </c>
      <c r="I58" s="2"/>
      <c r="J58" s="69" t="str">
        <f>A63</f>
        <v>飛騨圏域(n = 106 )　　</v>
      </c>
      <c r="K58" s="78">
        <f t="shared" ref="K58:P58" si="40">C64</f>
        <v>9.433962264150944</v>
      </c>
      <c r="L58" s="79">
        <f t="shared" si="40"/>
        <v>35.849056603773583</v>
      </c>
      <c r="M58" s="80">
        <f t="shared" si="40"/>
        <v>39.622641509433961</v>
      </c>
      <c r="N58" s="79">
        <f t="shared" si="40"/>
        <v>9.433962264150944</v>
      </c>
      <c r="O58" s="80">
        <f t="shared" si="40"/>
        <v>5.6603773584905666</v>
      </c>
      <c r="P58" s="81">
        <f t="shared" si="40"/>
        <v>0</v>
      </c>
      <c r="Q58" s="24">
        <f t="shared" si="30"/>
        <v>45.283018867924525</v>
      </c>
      <c r="R58" s="24">
        <f t="shared" si="31"/>
        <v>49.056603773584904</v>
      </c>
      <c r="S58" s="25">
        <f t="shared" si="32"/>
        <v>-3.7735849056603783</v>
      </c>
    </row>
    <row r="59" spans="1:19" ht="13.5" customHeight="1" x14ac:dyDescent="0.2">
      <c r="A59" s="275" t="str">
        <f>'問8M（表）'!A69</f>
        <v>中濃圏域(n = 300 )　　</v>
      </c>
      <c r="B59" s="34">
        <f>'問8M（表）'!B69</f>
        <v>300</v>
      </c>
      <c r="C59" s="28">
        <v>21</v>
      </c>
      <c r="D59" s="29">
        <v>107</v>
      </c>
      <c r="E59" s="29">
        <v>112</v>
      </c>
      <c r="F59" s="29">
        <v>26</v>
      </c>
      <c r="G59" s="29">
        <v>33</v>
      </c>
      <c r="H59" s="30">
        <v>1</v>
      </c>
      <c r="I59" s="170">
        <v>3</v>
      </c>
      <c r="Q59" s="24"/>
      <c r="R59" s="24"/>
      <c r="S59" s="25"/>
    </row>
    <row r="60" spans="1:19" x14ac:dyDescent="0.2">
      <c r="A60" s="276"/>
      <c r="B60" s="35">
        <f>'問8M（表）'!B70</f>
        <v>18.564356435643564</v>
      </c>
      <c r="C60" s="20">
        <f t="shared" ref="C60:H60" si="41">C59/$B$59*100</f>
        <v>7.0000000000000009</v>
      </c>
      <c r="D60" s="207">
        <f t="shared" si="41"/>
        <v>35.666666666666671</v>
      </c>
      <c r="E60" s="207">
        <f t="shared" si="41"/>
        <v>37.333333333333336</v>
      </c>
      <c r="F60" s="207">
        <f t="shared" si="41"/>
        <v>8.6666666666666679</v>
      </c>
      <c r="G60" s="207">
        <f t="shared" si="41"/>
        <v>11</v>
      </c>
      <c r="H60" s="208">
        <f t="shared" si="41"/>
        <v>0.33333333333333337</v>
      </c>
      <c r="I60" s="2"/>
    </row>
    <row r="61" spans="1:19" x14ac:dyDescent="0.2">
      <c r="A61" s="275" t="str">
        <f>'問8M（表）'!A71</f>
        <v>東濃圏域(n = 271 )　　</v>
      </c>
      <c r="B61" s="34">
        <f>'問8M（表）'!B71</f>
        <v>271</v>
      </c>
      <c r="C61" s="28">
        <v>20</v>
      </c>
      <c r="D61" s="29">
        <v>100</v>
      </c>
      <c r="E61" s="29">
        <v>82</v>
      </c>
      <c r="F61" s="29">
        <v>40</v>
      </c>
      <c r="G61" s="29">
        <v>27</v>
      </c>
      <c r="H61" s="30">
        <v>2</v>
      </c>
      <c r="I61" s="170">
        <v>4</v>
      </c>
    </row>
    <row r="62" spans="1:19" x14ac:dyDescent="0.2">
      <c r="A62" s="276"/>
      <c r="B62" s="35">
        <f>'問8M（表）'!B72</f>
        <v>16.769801980198022</v>
      </c>
      <c r="C62" s="20">
        <f t="shared" ref="C62:H62" si="42">C61/$B$61*100</f>
        <v>7.3800738007380069</v>
      </c>
      <c r="D62" s="207">
        <f t="shared" si="42"/>
        <v>36.900369003690038</v>
      </c>
      <c r="E62" s="207">
        <f t="shared" si="42"/>
        <v>30.258302583025831</v>
      </c>
      <c r="F62" s="207">
        <f t="shared" si="42"/>
        <v>14.760147601476014</v>
      </c>
      <c r="G62" s="207">
        <f t="shared" si="42"/>
        <v>9.9630996309963091</v>
      </c>
      <c r="H62" s="208">
        <f t="shared" si="42"/>
        <v>0.73800738007380073</v>
      </c>
      <c r="I62" s="2"/>
    </row>
    <row r="63" spans="1:19" x14ac:dyDescent="0.2">
      <c r="A63" s="275" t="str">
        <f>'問8M（表）'!A73</f>
        <v>飛騨圏域(n = 106 )　　</v>
      </c>
      <c r="B63" s="34">
        <f>'問8M（表）'!B73</f>
        <v>106</v>
      </c>
      <c r="C63" s="28">
        <v>10</v>
      </c>
      <c r="D63" s="29">
        <v>38</v>
      </c>
      <c r="E63" s="29">
        <v>42</v>
      </c>
      <c r="F63" s="29">
        <v>10</v>
      </c>
      <c r="G63" s="29">
        <v>6</v>
      </c>
      <c r="H63" s="30">
        <v>0</v>
      </c>
      <c r="I63" s="170">
        <v>5</v>
      </c>
    </row>
    <row r="64" spans="1:19" x14ac:dyDescent="0.2">
      <c r="A64" s="276"/>
      <c r="B64" s="35">
        <f>'問8M（表）'!B74</f>
        <v>6.5594059405940595</v>
      </c>
      <c r="C64" s="20">
        <f t="shared" ref="C64:H64" si="43">C63/$B$63*100</f>
        <v>9.433962264150944</v>
      </c>
      <c r="D64" s="207">
        <f t="shared" si="43"/>
        <v>35.849056603773583</v>
      </c>
      <c r="E64" s="207">
        <f t="shared" si="43"/>
        <v>39.622641509433961</v>
      </c>
      <c r="F64" s="207">
        <f t="shared" si="43"/>
        <v>9.433962264150944</v>
      </c>
      <c r="G64" s="207">
        <f t="shared" si="43"/>
        <v>5.6603773584905666</v>
      </c>
      <c r="H64" s="208">
        <f t="shared" si="43"/>
        <v>0</v>
      </c>
    </row>
    <row r="66" spans="1:17" x14ac:dyDescent="0.2">
      <c r="A66" s="3" t="s">
        <v>311</v>
      </c>
      <c r="B66" s="1" t="str">
        <f>B22</f>
        <v>県事業への関心の有無</v>
      </c>
      <c r="C66" s="8"/>
      <c r="D66" s="8"/>
      <c r="E66" s="8"/>
      <c r="F66" s="8"/>
      <c r="G66" s="9" t="s">
        <v>1</v>
      </c>
      <c r="H66" s="9"/>
      <c r="I66" s="23" t="s">
        <v>31</v>
      </c>
      <c r="J66" s="8"/>
      <c r="K66" s="8"/>
      <c r="L66" s="8"/>
      <c r="M66" s="8"/>
      <c r="N66" s="8"/>
      <c r="O66" s="8"/>
      <c r="P66" s="8"/>
    </row>
    <row r="67" spans="1:17" ht="43.2" x14ac:dyDescent="0.2">
      <c r="A67" s="12" t="s">
        <v>29</v>
      </c>
      <c r="B67" s="14" t="str">
        <f>B23</f>
        <v>調査数</v>
      </c>
      <c r="C67" s="15" t="str">
        <f t="shared" ref="C67:H67" si="44">C23</f>
        <v>関心がある</v>
      </c>
      <c r="D67" s="16" t="str">
        <f t="shared" si="44"/>
        <v>どちらかといえば関心がある</v>
      </c>
      <c r="E67" s="17" t="str">
        <f t="shared" si="44"/>
        <v>どちらかといえば関心がない</v>
      </c>
      <c r="F67" s="16" t="str">
        <f t="shared" si="44"/>
        <v>関心がない</v>
      </c>
      <c r="G67" s="17" t="str">
        <f t="shared" si="44"/>
        <v>わからない</v>
      </c>
      <c r="H67" s="18" t="str">
        <f t="shared" si="44"/>
        <v>無回答</v>
      </c>
      <c r="I67" s="209" t="s">
        <v>253</v>
      </c>
      <c r="J67" s="12" t="str">
        <f t="shared" ref="J67:Q68" si="45">A67</f>
        <v>【職業別】</v>
      </c>
      <c r="K67" s="59" t="str">
        <f t="shared" si="45"/>
        <v>調査数</v>
      </c>
      <c r="L67" s="60" t="str">
        <f t="shared" si="45"/>
        <v>関心がある</v>
      </c>
      <c r="M67" s="61" t="str">
        <f t="shared" si="45"/>
        <v>どちらかといえば関心がある</v>
      </c>
      <c r="N67" s="62" t="str">
        <f t="shared" si="45"/>
        <v>どちらかといえば関心がない</v>
      </c>
      <c r="O67" s="61" t="str">
        <f t="shared" si="45"/>
        <v>関心がない</v>
      </c>
      <c r="P67" s="62" t="str">
        <f t="shared" si="45"/>
        <v>わからない</v>
      </c>
      <c r="Q67" s="63" t="str">
        <f t="shared" si="45"/>
        <v>無回答</v>
      </c>
    </row>
    <row r="68" spans="1:17" x14ac:dyDescent="0.2">
      <c r="A68" s="269" t="str">
        <f>'問9S（表）'!A53</f>
        <v>全体(n = 1,616 )　　</v>
      </c>
      <c r="B68" s="34">
        <v>1616</v>
      </c>
      <c r="C68" s="31">
        <f>$C$24</f>
        <v>136</v>
      </c>
      <c r="D68" s="32">
        <f>$D$24</f>
        <v>624</v>
      </c>
      <c r="E68" s="32">
        <f>$E$24</f>
        <v>523</v>
      </c>
      <c r="F68" s="32">
        <f>$F$24</f>
        <v>161</v>
      </c>
      <c r="G68" s="32">
        <f>$G$24</f>
        <v>164</v>
      </c>
      <c r="H68" s="33">
        <f>$H$24</f>
        <v>7</v>
      </c>
      <c r="I68" s="210" t="s">
        <v>254</v>
      </c>
      <c r="J68" s="269" t="str">
        <f t="shared" si="45"/>
        <v>全体(n = 1,616 )　　</v>
      </c>
      <c r="K68" s="113">
        <f t="shared" si="45"/>
        <v>1616</v>
      </c>
      <c r="L68" s="121">
        <f t="shared" si="45"/>
        <v>136</v>
      </c>
      <c r="M68" s="122">
        <f t="shared" si="45"/>
        <v>624</v>
      </c>
      <c r="N68" s="123">
        <f t="shared" si="45"/>
        <v>523</v>
      </c>
      <c r="O68" s="122">
        <f t="shared" si="45"/>
        <v>161</v>
      </c>
      <c r="P68" s="123">
        <f t="shared" si="45"/>
        <v>164</v>
      </c>
      <c r="Q68" s="124">
        <f t="shared" si="45"/>
        <v>7</v>
      </c>
    </row>
    <row r="69" spans="1:17" x14ac:dyDescent="0.2">
      <c r="A69" s="270"/>
      <c r="B69" s="35">
        <v>100</v>
      </c>
      <c r="C69" s="20">
        <f t="shared" ref="C69:H69" si="46">C68/$B$34*100</f>
        <v>8.4158415841584162</v>
      </c>
      <c r="D69" s="207">
        <f t="shared" si="46"/>
        <v>38.613861386138616</v>
      </c>
      <c r="E69" s="207">
        <f t="shared" si="46"/>
        <v>32.363861386138616</v>
      </c>
      <c r="F69" s="207">
        <f t="shared" si="46"/>
        <v>9.9628712871287135</v>
      </c>
      <c r="G69" s="207">
        <f t="shared" si="46"/>
        <v>10.14851485148515</v>
      </c>
      <c r="H69" s="208">
        <f t="shared" si="46"/>
        <v>0.43316831683168322</v>
      </c>
      <c r="I69" s="23" t="s">
        <v>30</v>
      </c>
      <c r="J69" s="270"/>
      <c r="K69" s="114">
        <f t="shared" ref="K69:Q71" si="47">B69</f>
        <v>100</v>
      </c>
      <c r="L69" s="125">
        <f t="shared" si="47"/>
        <v>8.4158415841584162</v>
      </c>
      <c r="M69" s="126">
        <f t="shared" si="47"/>
        <v>38.613861386138616</v>
      </c>
      <c r="N69" s="127">
        <f t="shared" si="47"/>
        <v>32.363861386138616</v>
      </c>
      <c r="O69" s="126">
        <f t="shared" si="47"/>
        <v>9.9628712871287135</v>
      </c>
      <c r="P69" s="127">
        <f t="shared" si="47"/>
        <v>10.14851485148515</v>
      </c>
      <c r="Q69" s="128">
        <f t="shared" si="47"/>
        <v>0.43316831683168322</v>
      </c>
    </row>
    <row r="70" spans="1:17" ht="13.5" customHeight="1" x14ac:dyDescent="0.2">
      <c r="A70" s="259" t="str">
        <f>"自営業(n = "&amp;B70&amp;" )　　"</f>
        <v>自営業(n = 175 )　　</v>
      </c>
      <c r="B70" s="34">
        <v>175</v>
      </c>
      <c r="C70" s="28">
        <v>20</v>
      </c>
      <c r="D70" s="29">
        <v>68</v>
      </c>
      <c r="E70" s="29">
        <v>46</v>
      </c>
      <c r="F70" s="29">
        <v>20</v>
      </c>
      <c r="G70" s="29">
        <v>20</v>
      </c>
      <c r="H70" s="30">
        <v>1</v>
      </c>
      <c r="I70" s="170">
        <v>1</v>
      </c>
      <c r="J70" s="269" t="str">
        <f>A70</f>
        <v>自営業(n = 175 )　　</v>
      </c>
      <c r="K70" s="113">
        <f t="shared" si="47"/>
        <v>175</v>
      </c>
      <c r="L70" s="121">
        <f t="shared" si="47"/>
        <v>20</v>
      </c>
      <c r="M70" s="122">
        <f t="shared" si="47"/>
        <v>68</v>
      </c>
      <c r="N70" s="123">
        <f t="shared" si="47"/>
        <v>46</v>
      </c>
      <c r="O70" s="122">
        <f t="shared" si="47"/>
        <v>20</v>
      </c>
      <c r="P70" s="123">
        <f t="shared" si="47"/>
        <v>20</v>
      </c>
      <c r="Q70" s="124">
        <f t="shared" si="47"/>
        <v>1</v>
      </c>
    </row>
    <row r="71" spans="1:17" x14ac:dyDescent="0.2">
      <c r="A71" s="260"/>
      <c r="B71" s="35">
        <f>B70/$B$68*100</f>
        <v>10.829207920792079</v>
      </c>
      <c r="C71" s="20">
        <f t="shared" ref="C71:H71" si="48">C70/$B$70*100</f>
        <v>11.428571428571429</v>
      </c>
      <c r="D71" s="207">
        <f t="shared" si="48"/>
        <v>38.857142857142854</v>
      </c>
      <c r="E71" s="207">
        <f t="shared" si="48"/>
        <v>26.285714285714285</v>
      </c>
      <c r="F71" s="207">
        <f t="shared" si="48"/>
        <v>11.428571428571429</v>
      </c>
      <c r="G71" s="207">
        <f t="shared" si="48"/>
        <v>11.428571428571429</v>
      </c>
      <c r="H71" s="208">
        <f t="shared" si="48"/>
        <v>0.5714285714285714</v>
      </c>
      <c r="I71" s="2"/>
      <c r="J71" s="270"/>
      <c r="K71" s="114">
        <f t="shared" si="47"/>
        <v>10.829207920792079</v>
      </c>
      <c r="L71" s="125">
        <f t="shared" si="47"/>
        <v>11.428571428571429</v>
      </c>
      <c r="M71" s="126">
        <f t="shared" si="47"/>
        <v>38.857142857142854</v>
      </c>
      <c r="N71" s="127">
        <f t="shared" si="47"/>
        <v>26.285714285714285</v>
      </c>
      <c r="O71" s="126">
        <f t="shared" si="47"/>
        <v>11.428571428571429</v>
      </c>
      <c r="P71" s="127">
        <f t="shared" si="47"/>
        <v>11.428571428571429</v>
      </c>
      <c r="Q71" s="128">
        <f t="shared" si="47"/>
        <v>0.5714285714285714</v>
      </c>
    </row>
    <row r="72" spans="1:17" ht="13.5" customHeight="1" x14ac:dyDescent="0.2">
      <c r="A72" s="259" t="str">
        <f>"自由業(※1)(n = "&amp;B72&amp;" )　　"</f>
        <v>自由業(※1)(n = 12 )　　</v>
      </c>
      <c r="B72" s="34">
        <v>12</v>
      </c>
      <c r="C72" s="28">
        <v>0</v>
      </c>
      <c r="D72" s="29">
        <v>7</v>
      </c>
      <c r="E72" s="29">
        <v>5</v>
      </c>
      <c r="F72" s="29">
        <v>0</v>
      </c>
      <c r="G72" s="29">
        <v>0</v>
      </c>
      <c r="H72" s="30">
        <v>0</v>
      </c>
      <c r="I72" s="170">
        <v>2</v>
      </c>
      <c r="J72" s="269" t="str">
        <f t="shared" ref="J72:Q72" si="49">A74</f>
        <v>会社・団体役員(n = 171 )　　</v>
      </c>
      <c r="K72" s="113">
        <f t="shared" si="49"/>
        <v>171</v>
      </c>
      <c r="L72" s="121">
        <f t="shared" si="49"/>
        <v>17</v>
      </c>
      <c r="M72" s="122">
        <f t="shared" si="49"/>
        <v>64</v>
      </c>
      <c r="N72" s="123">
        <f t="shared" si="49"/>
        <v>59</v>
      </c>
      <c r="O72" s="122">
        <f t="shared" si="49"/>
        <v>19</v>
      </c>
      <c r="P72" s="123">
        <f t="shared" si="49"/>
        <v>12</v>
      </c>
      <c r="Q72" s="124">
        <f t="shared" si="49"/>
        <v>0</v>
      </c>
    </row>
    <row r="73" spans="1:17" x14ac:dyDescent="0.2">
      <c r="A73" s="260"/>
      <c r="B73" s="35">
        <f>B72/$B$68*100</f>
        <v>0.74257425742574257</v>
      </c>
      <c r="C73" s="20">
        <f t="shared" ref="C73:H73" si="50">C72/$B$72*100</f>
        <v>0</v>
      </c>
      <c r="D73" s="207">
        <f t="shared" si="50"/>
        <v>58.333333333333336</v>
      </c>
      <c r="E73" s="207">
        <f t="shared" si="50"/>
        <v>41.666666666666671</v>
      </c>
      <c r="F73" s="207">
        <f t="shared" si="50"/>
        <v>0</v>
      </c>
      <c r="G73" s="207">
        <f t="shared" si="50"/>
        <v>0</v>
      </c>
      <c r="H73" s="208">
        <f t="shared" si="50"/>
        <v>0</v>
      </c>
      <c r="I73" s="2"/>
      <c r="J73" s="270"/>
      <c r="K73" s="114">
        <f t="shared" ref="K73:Q77" si="51">B75</f>
        <v>10.581683168316831</v>
      </c>
      <c r="L73" s="125">
        <f t="shared" si="51"/>
        <v>9.9415204678362574</v>
      </c>
      <c r="M73" s="126">
        <f t="shared" si="51"/>
        <v>37.42690058479532</v>
      </c>
      <c r="N73" s="127">
        <f t="shared" si="51"/>
        <v>34.502923976608187</v>
      </c>
      <c r="O73" s="126">
        <f t="shared" si="51"/>
        <v>11.111111111111111</v>
      </c>
      <c r="P73" s="127">
        <f t="shared" si="51"/>
        <v>7.0175438596491224</v>
      </c>
      <c r="Q73" s="128">
        <f t="shared" si="51"/>
        <v>0</v>
      </c>
    </row>
    <row r="74" spans="1:17" ht="13.5" customHeight="1" x14ac:dyDescent="0.2">
      <c r="A74" s="259" t="str">
        <f>"会社・団体役員(n = "&amp;B74&amp;" )　　"</f>
        <v>会社・団体役員(n = 171 )　　</v>
      </c>
      <c r="B74" s="34">
        <v>171</v>
      </c>
      <c r="C74" s="28">
        <v>17</v>
      </c>
      <c r="D74" s="29">
        <v>64</v>
      </c>
      <c r="E74" s="29">
        <v>59</v>
      </c>
      <c r="F74" s="29">
        <v>19</v>
      </c>
      <c r="G74" s="29">
        <v>12</v>
      </c>
      <c r="H74" s="30">
        <v>0</v>
      </c>
      <c r="I74" s="170">
        <v>3</v>
      </c>
      <c r="J74" s="271" t="str">
        <f>A76</f>
        <v>正規の従業員・職員(n = 423 )　　</v>
      </c>
      <c r="K74" s="113">
        <f t="shared" si="51"/>
        <v>423</v>
      </c>
      <c r="L74" s="121">
        <f t="shared" si="51"/>
        <v>35</v>
      </c>
      <c r="M74" s="122">
        <f t="shared" si="51"/>
        <v>160</v>
      </c>
      <c r="N74" s="123">
        <f t="shared" si="51"/>
        <v>155</v>
      </c>
      <c r="O74" s="122">
        <f t="shared" si="51"/>
        <v>45</v>
      </c>
      <c r="P74" s="123">
        <f t="shared" si="51"/>
        <v>27</v>
      </c>
      <c r="Q74" s="124">
        <f t="shared" si="51"/>
        <v>1</v>
      </c>
    </row>
    <row r="75" spans="1:17" x14ac:dyDescent="0.2">
      <c r="A75" s="260"/>
      <c r="B75" s="35">
        <f>B74/$B$68*100</f>
        <v>10.581683168316831</v>
      </c>
      <c r="C75" s="20">
        <f t="shared" ref="C75:H75" si="52">C74/$B$74*100</f>
        <v>9.9415204678362574</v>
      </c>
      <c r="D75" s="207">
        <f t="shared" si="52"/>
        <v>37.42690058479532</v>
      </c>
      <c r="E75" s="207">
        <f t="shared" si="52"/>
        <v>34.502923976608187</v>
      </c>
      <c r="F75" s="207">
        <f t="shared" si="52"/>
        <v>11.111111111111111</v>
      </c>
      <c r="G75" s="207">
        <f t="shared" si="52"/>
        <v>7.0175438596491224</v>
      </c>
      <c r="H75" s="208">
        <f t="shared" si="52"/>
        <v>0</v>
      </c>
      <c r="I75" s="2"/>
      <c r="J75" s="272"/>
      <c r="K75" s="114">
        <f t="shared" si="51"/>
        <v>26.175742574257427</v>
      </c>
      <c r="L75" s="125">
        <f t="shared" si="51"/>
        <v>8.2742316784869967</v>
      </c>
      <c r="M75" s="126">
        <f t="shared" si="51"/>
        <v>37.825059101654844</v>
      </c>
      <c r="N75" s="127">
        <f t="shared" si="51"/>
        <v>36.643026004728128</v>
      </c>
      <c r="O75" s="126">
        <f t="shared" si="51"/>
        <v>10.638297872340425</v>
      </c>
      <c r="P75" s="127">
        <f t="shared" si="51"/>
        <v>6.3829787234042552</v>
      </c>
      <c r="Q75" s="128">
        <f t="shared" si="51"/>
        <v>0.2364066193853428</v>
      </c>
    </row>
    <row r="76" spans="1:17" ht="13.5" customHeight="1" x14ac:dyDescent="0.2">
      <c r="A76" s="263" t="str">
        <f>"正規の従業員・職員(n = "&amp;B76&amp;" )　　"</f>
        <v>正規の従業員・職員(n = 423 )　　</v>
      </c>
      <c r="B76" s="34">
        <v>423</v>
      </c>
      <c r="C76" s="28">
        <v>35</v>
      </c>
      <c r="D76" s="29">
        <v>160</v>
      </c>
      <c r="E76" s="29">
        <v>155</v>
      </c>
      <c r="F76" s="29">
        <v>45</v>
      </c>
      <c r="G76" s="29">
        <v>27</v>
      </c>
      <c r="H76" s="30">
        <v>1</v>
      </c>
      <c r="I76" s="170">
        <v>4</v>
      </c>
      <c r="J76" s="265" t="str">
        <f>A78</f>
        <v>パートタイム・アルバイト・派遣(n = 346 )　　</v>
      </c>
      <c r="K76" s="113">
        <f t="shared" si="51"/>
        <v>346</v>
      </c>
      <c r="L76" s="121">
        <f t="shared" si="51"/>
        <v>27</v>
      </c>
      <c r="M76" s="122">
        <f t="shared" si="51"/>
        <v>129</v>
      </c>
      <c r="N76" s="123">
        <f t="shared" si="51"/>
        <v>112</v>
      </c>
      <c r="O76" s="122">
        <f t="shared" si="51"/>
        <v>28</v>
      </c>
      <c r="P76" s="123">
        <f t="shared" si="51"/>
        <v>49</v>
      </c>
      <c r="Q76" s="124">
        <f t="shared" si="51"/>
        <v>1</v>
      </c>
    </row>
    <row r="77" spans="1:17" x14ac:dyDescent="0.2">
      <c r="A77" s="264"/>
      <c r="B77" s="35">
        <f>B76/$B$68*100</f>
        <v>26.175742574257427</v>
      </c>
      <c r="C77" s="20">
        <f t="shared" ref="C77:H77" si="53">C76/$B$76*100</f>
        <v>8.2742316784869967</v>
      </c>
      <c r="D77" s="207">
        <f t="shared" si="53"/>
        <v>37.825059101654844</v>
      </c>
      <c r="E77" s="207">
        <f t="shared" si="53"/>
        <v>36.643026004728128</v>
      </c>
      <c r="F77" s="207">
        <f t="shared" si="53"/>
        <v>10.638297872340425</v>
      </c>
      <c r="G77" s="207">
        <f t="shared" si="53"/>
        <v>6.3829787234042552</v>
      </c>
      <c r="H77" s="208">
        <f t="shared" si="53"/>
        <v>0.2364066193853428</v>
      </c>
      <c r="I77" s="2"/>
      <c r="J77" s="266"/>
      <c r="K77" s="114">
        <f t="shared" si="51"/>
        <v>21.410891089108912</v>
      </c>
      <c r="L77" s="125">
        <f t="shared" si="51"/>
        <v>7.803468208092486</v>
      </c>
      <c r="M77" s="126">
        <f t="shared" si="51"/>
        <v>37.283236994219656</v>
      </c>
      <c r="N77" s="127">
        <f t="shared" si="51"/>
        <v>32.369942196531795</v>
      </c>
      <c r="O77" s="126">
        <f t="shared" si="51"/>
        <v>8.0924855491329488</v>
      </c>
      <c r="P77" s="127">
        <f t="shared" si="51"/>
        <v>14.16184971098266</v>
      </c>
      <c r="Q77" s="128">
        <f t="shared" si="51"/>
        <v>0.28901734104046239</v>
      </c>
    </row>
    <row r="78" spans="1:17" ht="13.5" customHeight="1" x14ac:dyDescent="0.2">
      <c r="A78" s="267" t="str">
        <f>"パートタイム・アルバイト・派遣(n = "&amp;B78&amp;" )　　"</f>
        <v>パートタイム・アルバイト・派遣(n = 346 )　　</v>
      </c>
      <c r="B78" s="34">
        <v>346</v>
      </c>
      <c r="C78" s="28">
        <v>27</v>
      </c>
      <c r="D78" s="29">
        <v>129</v>
      </c>
      <c r="E78" s="29">
        <v>112</v>
      </c>
      <c r="F78" s="29">
        <v>28</v>
      </c>
      <c r="G78" s="29">
        <v>49</v>
      </c>
      <c r="H78" s="30">
        <v>1</v>
      </c>
      <c r="I78" s="170">
        <v>5</v>
      </c>
      <c r="J78" s="269" t="str">
        <f t="shared" ref="J78:Q78" si="54">A82</f>
        <v>家事従事(n = 150 )　　</v>
      </c>
      <c r="K78" s="113">
        <f t="shared" si="54"/>
        <v>150</v>
      </c>
      <c r="L78" s="121">
        <f t="shared" si="54"/>
        <v>9</v>
      </c>
      <c r="M78" s="122">
        <f t="shared" si="54"/>
        <v>64</v>
      </c>
      <c r="N78" s="123">
        <f t="shared" si="54"/>
        <v>45</v>
      </c>
      <c r="O78" s="122">
        <f t="shared" si="54"/>
        <v>13</v>
      </c>
      <c r="P78" s="123">
        <f t="shared" si="54"/>
        <v>18</v>
      </c>
      <c r="Q78" s="124">
        <f t="shared" si="54"/>
        <v>1</v>
      </c>
    </row>
    <row r="79" spans="1:17" x14ac:dyDescent="0.2">
      <c r="A79" s="268"/>
      <c r="B79" s="35">
        <f>B78/$B$68*100</f>
        <v>21.410891089108912</v>
      </c>
      <c r="C79" s="20">
        <f t="shared" ref="C79:H79" si="55">C78/$B$78*100</f>
        <v>7.803468208092486</v>
      </c>
      <c r="D79" s="207">
        <f t="shared" si="55"/>
        <v>37.283236994219656</v>
      </c>
      <c r="E79" s="207">
        <f t="shared" si="55"/>
        <v>32.369942196531795</v>
      </c>
      <c r="F79" s="207">
        <f t="shared" si="55"/>
        <v>8.0924855491329488</v>
      </c>
      <c r="G79" s="207">
        <f t="shared" si="55"/>
        <v>14.16184971098266</v>
      </c>
      <c r="H79" s="208">
        <f t="shared" si="55"/>
        <v>0.28901734104046239</v>
      </c>
      <c r="I79" s="19"/>
      <c r="J79" s="270"/>
      <c r="K79" s="114">
        <f t="shared" ref="K79:Q81" si="56">B83</f>
        <v>9.282178217821782</v>
      </c>
      <c r="L79" s="125">
        <f t="shared" si="56"/>
        <v>6</v>
      </c>
      <c r="M79" s="126">
        <f t="shared" si="56"/>
        <v>42.666666666666671</v>
      </c>
      <c r="N79" s="127">
        <f t="shared" si="56"/>
        <v>30</v>
      </c>
      <c r="O79" s="126">
        <f t="shared" si="56"/>
        <v>8.6666666666666679</v>
      </c>
      <c r="P79" s="127">
        <f t="shared" si="56"/>
        <v>12</v>
      </c>
      <c r="Q79" s="128">
        <f t="shared" si="56"/>
        <v>0.66666666666666674</v>
      </c>
    </row>
    <row r="80" spans="1:17" ht="13.5" customHeight="1" x14ac:dyDescent="0.2">
      <c r="A80" s="259" t="str">
        <f>"学生(n = "&amp;B80&amp;" )　　"</f>
        <v>学生(n = 44 )　　</v>
      </c>
      <c r="B80" s="34">
        <v>44</v>
      </c>
      <c r="C80" s="28">
        <v>3</v>
      </c>
      <c r="D80" s="29">
        <v>11</v>
      </c>
      <c r="E80" s="29">
        <v>16</v>
      </c>
      <c r="F80" s="29">
        <v>9</v>
      </c>
      <c r="G80" s="29">
        <v>5</v>
      </c>
      <c r="H80" s="30">
        <v>0</v>
      </c>
      <c r="I80" s="170">
        <v>6</v>
      </c>
      <c r="J80" s="269" t="str">
        <f>A84</f>
        <v>無職(n = 263 )　　</v>
      </c>
      <c r="K80" s="113">
        <f t="shared" si="56"/>
        <v>263</v>
      </c>
      <c r="L80" s="121">
        <f t="shared" si="56"/>
        <v>21</v>
      </c>
      <c r="M80" s="122">
        <f t="shared" si="56"/>
        <v>110</v>
      </c>
      <c r="N80" s="123">
        <f t="shared" si="56"/>
        <v>76</v>
      </c>
      <c r="O80" s="122">
        <f t="shared" si="56"/>
        <v>24</v>
      </c>
      <c r="P80" s="123">
        <f t="shared" si="56"/>
        <v>29</v>
      </c>
      <c r="Q80" s="124">
        <f t="shared" si="56"/>
        <v>3</v>
      </c>
    </row>
    <row r="81" spans="1:19" x14ac:dyDescent="0.2">
      <c r="A81" s="260"/>
      <c r="B81" s="35">
        <f>B80/$B$68*100</f>
        <v>2.722772277227723</v>
      </c>
      <c r="C81" s="20">
        <f t="shared" ref="C81:H81" si="57">C80/$B$80*100</f>
        <v>6.8181818181818175</v>
      </c>
      <c r="D81" s="207">
        <f t="shared" si="57"/>
        <v>25</v>
      </c>
      <c r="E81" s="207">
        <f t="shared" si="57"/>
        <v>36.363636363636367</v>
      </c>
      <c r="F81" s="207">
        <f t="shared" si="57"/>
        <v>20.454545454545457</v>
      </c>
      <c r="G81" s="207">
        <f t="shared" si="57"/>
        <v>11.363636363636363</v>
      </c>
      <c r="H81" s="208">
        <f t="shared" si="57"/>
        <v>0</v>
      </c>
      <c r="I81" s="19"/>
      <c r="J81" s="270"/>
      <c r="K81" s="114">
        <f t="shared" si="56"/>
        <v>16.274752475247524</v>
      </c>
      <c r="L81" s="125">
        <f t="shared" si="56"/>
        <v>7.9847908745247151</v>
      </c>
      <c r="M81" s="126">
        <f t="shared" si="56"/>
        <v>41.825095057034225</v>
      </c>
      <c r="N81" s="127">
        <f t="shared" si="56"/>
        <v>28.897338403041822</v>
      </c>
      <c r="O81" s="126">
        <f t="shared" si="56"/>
        <v>9.1254752851711025</v>
      </c>
      <c r="P81" s="127">
        <f t="shared" si="56"/>
        <v>11.02661596958175</v>
      </c>
      <c r="Q81" s="128">
        <f t="shared" si="56"/>
        <v>1.1406844106463878</v>
      </c>
    </row>
    <row r="82" spans="1:19" ht="13.5" customHeight="1" x14ac:dyDescent="0.2">
      <c r="A82" s="259" t="str">
        <f>"家事従事(n = "&amp;B82&amp;" )　　"</f>
        <v>家事従事(n = 150 )　　</v>
      </c>
      <c r="B82" s="34">
        <v>150</v>
      </c>
      <c r="C82" s="28">
        <v>9</v>
      </c>
      <c r="D82" s="29">
        <v>64</v>
      </c>
      <c r="E82" s="29">
        <v>45</v>
      </c>
      <c r="F82" s="29">
        <v>13</v>
      </c>
      <c r="G82" s="29">
        <v>18</v>
      </c>
      <c r="H82" s="30">
        <v>1</v>
      </c>
      <c r="I82" s="170">
        <v>7</v>
      </c>
      <c r="J82" s="297" t="str">
        <f>"その他(n = "&amp;K82&amp;" )　　"</f>
        <v>その他(n = 74 )　　</v>
      </c>
      <c r="K82" s="113">
        <f t="shared" ref="K82:Q82" si="58">B72+B80+B86</f>
        <v>74</v>
      </c>
      <c r="L82" s="121">
        <f t="shared" si="58"/>
        <v>5</v>
      </c>
      <c r="M82" s="122">
        <f t="shared" si="58"/>
        <v>23</v>
      </c>
      <c r="N82" s="123">
        <f t="shared" si="58"/>
        <v>29</v>
      </c>
      <c r="O82" s="122">
        <f t="shared" si="58"/>
        <v>11</v>
      </c>
      <c r="P82" s="123">
        <f t="shared" si="58"/>
        <v>6</v>
      </c>
      <c r="Q82" s="124">
        <f t="shared" si="58"/>
        <v>0</v>
      </c>
    </row>
    <row r="83" spans="1:19" ht="13.5" customHeight="1" x14ac:dyDescent="0.2">
      <c r="A83" s="260"/>
      <c r="B83" s="35">
        <f>B82/$B$68*100</f>
        <v>9.282178217821782</v>
      </c>
      <c r="C83" s="20">
        <f t="shared" ref="C83:H83" si="59">C82/$B$82*100</f>
        <v>6</v>
      </c>
      <c r="D83" s="207">
        <f t="shared" si="59"/>
        <v>42.666666666666671</v>
      </c>
      <c r="E83" s="207">
        <f t="shared" si="59"/>
        <v>30</v>
      </c>
      <c r="F83" s="207">
        <f t="shared" si="59"/>
        <v>8.6666666666666679</v>
      </c>
      <c r="G83" s="207">
        <f t="shared" si="59"/>
        <v>12</v>
      </c>
      <c r="H83" s="208">
        <f t="shared" si="59"/>
        <v>0.66666666666666674</v>
      </c>
      <c r="I83" s="19"/>
      <c r="J83" s="298"/>
      <c r="K83" s="114">
        <f>K82/K68*100</f>
        <v>4.5792079207920793</v>
      </c>
      <c r="L83" s="125">
        <f t="shared" ref="L83:Q83" si="60">L82/$K$82*100</f>
        <v>6.756756756756757</v>
      </c>
      <c r="M83" s="126">
        <f t="shared" si="60"/>
        <v>31.081081081081081</v>
      </c>
      <c r="N83" s="127">
        <f t="shared" si="60"/>
        <v>39.189189189189186</v>
      </c>
      <c r="O83" s="126">
        <f t="shared" si="60"/>
        <v>14.864864864864865</v>
      </c>
      <c r="P83" s="127">
        <f t="shared" si="60"/>
        <v>8.1081081081081088</v>
      </c>
      <c r="Q83" s="128">
        <f t="shared" si="60"/>
        <v>0</v>
      </c>
    </row>
    <row r="84" spans="1:19" ht="13.5" customHeight="1" x14ac:dyDescent="0.2">
      <c r="A84" s="259" t="str">
        <f>"無職(n = "&amp;B84&amp;" )　　"</f>
        <v>無職(n = 263 )　　</v>
      </c>
      <c r="B84" s="34">
        <v>263</v>
      </c>
      <c r="C84" s="28">
        <v>21</v>
      </c>
      <c r="D84" s="29">
        <v>110</v>
      </c>
      <c r="E84" s="29">
        <v>76</v>
      </c>
      <c r="F84" s="29">
        <v>24</v>
      </c>
      <c r="G84" s="29">
        <v>29</v>
      </c>
      <c r="H84" s="30">
        <v>3</v>
      </c>
      <c r="I84" s="170">
        <v>8</v>
      </c>
      <c r="J84" s="261" t="s">
        <v>33</v>
      </c>
      <c r="K84" s="22"/>
      <c r="L84" s="22"/>
      <c r="M84" s="22"/>
      <c r="N84" s="4"/>
      <c r="O84" s="4"/>
      <c r="P84" s="4"/>
    </row>
    <row r="85" spans="1:19" ht="13.5" customHeight="1" x14ac:dyDescent="0.2">
      <c r="A85" s="260"/>
      <c r="B85" s="35">
        <f>B84/$B$68*100</f>
        <v>16.274752475247524</v>
      </c>
      <c r="C85" s="20">
        <f t="shared" ref="C85:H85" si="61">C84/$B$84*100</f>
        <v>7.9847908745247151</v>
      </c>
      <c r="D85" s="207">
        <f t="shared" si="61"/>
        <v>41.825095057034225</v>
      </c>
      <c r="E85" s="207">
        <f t="shared" si="61"/>
        <v>28.897338403041822</v>
      </c>
      <c r="F85" s="207">
        <f t="shared" si="61"/>
        <v>9.1254752851711025</v>
      </c>
      <c r="G85" s="207">
        <f t="shared" si="61"/>
        <v>11.02661596958175</v>
      </c>
      <c r="H85" s="208">
        <f t="shared" si="61"/>
        <v>1.1406844106463878</v>
      </c>
      <c r="I85" s="19"/>
      <c r="J85" s="262"/>
      <c r="K85" s="8"/>
      <c r="L85" s="8"/>
      <c r="M85" s="8"/>
      <c r="N85" s="8"/>
      <c r="O85" s="8"/>
      <c r="P85" s="8"/>
    </row>
    <row r="86" spans="1:19" ht="13.5" customHeight="1" x14ac:dyDescent="0.2">
      <c r="A86" s="259" t="str">
        <f>"その他(n = "&amp;B86&amp;" )　　"</f>
        <v>その他(n = 18 )　　</v>
      </c>
      <c r="B86" s="34">
        <v>18</v>
      </c>
      <c r="C86" s="28">
        <v>2</v>
      </c>
      <c r="D86" s="29">
        <v>5</v>
      </c>
      <c r="E86" s="29">
        <v>8</v>
      </c>
      <c r="F86" s="29">
        <v>2</v>
      </c>
      <c r="G86" s="29">
        <v>1</v>
      </c>
      <c r="H86" s="30">
        <v>0</v>
      </c>
      <c r="I86" s="170">
        <v>9</v>
      </c>
      <c r="J86" s="12" t="str">
        <f>J67</f>
        <v>【職業別】</v>
      </c>
      <c r="K86" s="61" t="str">
        <f t="shared" ref="K86:P86" si="62">L67</f>
        <v>関心がある</v>
      </c>
      <c r="L86" s="62" t="str">
        <f t="shared" si="62"/>
        <v>どちらかといえば関心がある</v>
      </c>
      <c r="M86" s="61" t="str">
        <f t="shared" si="62"/>
        <v>どちらかといえば関心がない</v>
      </c>
      <c r="N86" s="62" t="str">
        <f t="shared" si="62"/>
        <v>関心がない</v>
      </c>
      <c r="O86" s="62" t="str">
        <f t="shared" si="62"/>
        <v>わからない</v>
      </c>
      <c r="P86" s="63" t="str">
        <f t="shared" si="62"/>
        <v>無回答</v>
      </c>
      <c r="Q86" s="46" t="s">
        <v>310</v>
      </c>
      <c r="R86" s="46" t="s">
        <v>309</v>
      </c>
      <c r="S86" s="51" t="s">
        <v>42</v>
      </c>
    </row>
    <row r="87" spans="1:19" ht="13.5" customHeight="1" x14ac:dyDescent="0.2">
      <c r="A87" s="260"/>
      <c r="B87" s="35">
        <f>B86/$B$68*100</f>
        <v>1.1138613861386137</v>
      </c>
      <c r="C87" s="20">
        <f t="shared" ref="C87:H87" si="63">C86/$B$86*100</f>
        <v>11.111111111111111</v>
      </c>
      <c r="D87" s="207">
        <f t="shared" si="63"/>
        <v>27.777777777777779</v>
      </c>
      <c r="E87" s="207">
        <f t="shared" si="63"/>
        <v>44.444444444444443</v>
      </c>
      <c r="F87" s="207">
        <f t="shared" si="63"/>
        <v>11.111111111111111</v>
      </c>
      <c r="G87" s="207">
        <f t="shared" si="63"/>
        <v>5.5555555555555554</v>
      </c>
      <c r="H87" s="208">
        <f t="shared" si="63"/>
        <v>0</v>
      </c>
      <c r="I87" s="19"/>
      <c r="J87" s="67" t="str">
        <f>J68</f>
        <v>全体(n = 1,616 )　　</v>
      </c>
      <c r="K87" s="71">
        <f t="shared" ref="K87:P87" si="64">L69</f>
        <v>8.4158415841584162</v>
      </c>
      <c r="L87" s="72">
        <f t="shared" si="64"/>
        <v>38.613861386138616</v>
      </c>
      <c r="M87" s="71">
        <f t="shared" si="64"/>
        <v>32.363861386138616</v>
      </c>
      <c r="N87" s="72">
        <f t="shared" si="64"/>
        <v>9.9628712871287135</v>
      </c>
      <c r="O87" s="72">
        <f t="shared" si="64"/>
        <v>10.14851485148515</v>
      </c>
      <c r="P87" s="73">
        <f t="shared" si="64"/>
        <v>0.43316831683168322</v>
      </c>
      <c r="Q87" s="47">
        <f t="shared" ref="Q87:Q94" si="65">K87+L87</f>
        <v>47.029702970297031</v>
      </c>
      <c r="R87" s="47">
        <f t="shared" ref="R87:R94" si="66">M87+N87</f>
        <v>42.32673267326733</v>
      </c>
      <c r="S87" s="49">
        <f t="shared" ref="S87:S94" si="67">Q87-R87</f>
        <v>4.7029702970297009</v>
      </c>
    </row>
    <row r="88" spans="1:19" ht="13.5" customHeight="1" x14ac:dyDescent="0.2">
      <c r="J88" s="82" t="str">
        <f>J70</f>
        <v>自営業(n = 175 )　　</v>
      </c>
      <c r="K88" s="85">
        <f t="shared" ref="K88:P88" si="68">L71</f>
        <v>11.428571428571429</v>
      </c>
      <c r="L88" s="86">
        <f t="shared" si="68"/>
        <v>38.857142857142854</v>
      </c>
      <c r="M88" s="85">
        <f t="shared" si="68"/>
        <v>26.285714285714285</v>
      </c>
      <c r="N88" s="86">
        <f t="shared" si="68"/>
        <v>11.428571428571429</v>
      </c>
      <c r="O88" s="86">
        <f t="shared" si="68"/>
        <v>11.428571428571429</v>
      </c>
      <c r="P88" s="87">
        <f t="shared" si="68"/>
        <v>0.5714285714285714</v>
      </c>
      <c r="Q88" s="228">
        <f t="shared" si="65"/>
        <v>50.285714285714285</v>
      </c>
      <c r="R88" s="228">
        <f t="shared" si="66"/>
        <v>37.714285714285715</v>
      </c>
      <c r="S88" s="25">
        <f t="shared" si="67"/>
        <v>12.571428571428569</v>
      </c>
    </row>
    <row r="89" spans="1:19" ht="13.5" customHeight="1" x14ac:dyDescent="0.2">
      <c r="J89" s="83" t="str">
        <f>J72</f>
        <v>会社・団体役員(n = 171 )　　</v>
      </c>
      <c r="K89" s="89">
        <f t="shared" ref="K89:P89" si="69">L73</f>
        <v>9.9415204678362574</v>
      </c>
      <c r="L89" s="90">
        <f t="shared" si="69"/>
        <v>37.42690058479532</v>
      </c>
      <c r="M89" s="89">
        <f t="shared" si="69"/>
        <v>34.502923976608187</v>
      </c>
      <c r="N89" s="90">
        <f t="shared" si="69"/>
        <v>11.111111111111111</v>
      </c>
      <c r="O89" s="90">
        <f t="shared" si="69"/>
        <v>7.0175438596491224</v>
      </c>
      <c r="P89" s="91">
        <f t="shared" si="69"/>
        <v>0</v>
      </c>
      <c r="Q89" s="228">
        <f t="shared" si="65"/>
        <v>47.368421052631575</v>
      </c>
      <c r="R89" s="228">
        <f t="shared" si="66"/>
        <v>45.614035087719301</v>
      </c>
      <c r="S89" s="25">
        <f t="shared" si="67"/>
        <v>1.7543859649122737</v>
      </c>
    </row>
    <row r="90" spans="1:19" ht="13.5" customHeight="1" x14ac:dyDescent="0.2">
      <c r="J90" s="83" t="str">
        <f>J74</f>
        <v>正規の従業員・職員(n = 423 )　　</v>
      </c>
      <c r="K90" s="89">
        <f t="shared" ref="K90:P90" si="70">L75</f>
        <v>8.2742316784869967</v>
      </c>
      <c r="L90" s="90">
        <f t="shared" si="70"/>
        <v>37.825059101654844</v>
      </c>
      <c r="M90" s="89">
        <f t="shared" si="70"/>
        <v>36.643026004728128</v>
      </c>
      <c r="N90" s="90">
        <f t="shared" si="70"/>
        <v>10.638297872340425</v>
      </c>
      <c r="O90" s="90">
        <f t="shared" si="70"/>
        <v>6.3829787234042552</v>
      </c>
      <c r="P90" s="91">
        <f t="shared" si="70"/>
        <v>0.2364066193853428</v>
      </c>
      <c r="Q90" s="228">
        <f t="shared" si="65"/>
        <v>46.099290780141843</v>
      </c>
      <c r="R90" s="228">
        <f t="shared" si="66"/>
        <v>47.281323877068552</v>
      </c>
      <c r="S90" s="25">
        <f t="shared" si="67"/>
        <v>-1.182033096926709</v>
      </c>
    </row>
    <row r="91" spans="1:19" ht="13.5" customHeight="1" x14ac:dyDescent="0.2">
      <c r="J91" s="83" t="str">
        <f>J76</f>
        <v>パートタイム・アルバイト・派遣(n = 346 )　　</v>
      </c>
      <c r="K91" s="89">
        <f t="shared" ref="K91:P91" si="71">L77</f>
        <v>7.803468208092486</v>
      </c>
      <c r="L91" s="90">
        <f t="shared" si="71"/>
        <v>37.283236994219656</v>
      </c>
      <c r="M91" s="89">
        <f t="shared" si="71"/>
        <v>32.369942196531795</v>
      </c>
      <c r="N91" s="90">
        <f t="shared" si="71"/>
        <v>8.0924855491329488</v>
      </c>
      <c r="O91" s="90">
        <f t="shared" si="71"/>
        <v>14.16184971098266</v>
      </c>
      <c r="P91" s="91">
        <f t="shared" si="71"/>
        <v>0.28901734104046239</v>
      </c>
      <c r="Q91" s="228">
        <f t="shared" si="65"/>
        <v>45.086705202312146</v>
      </c>
      <c r="R91" s="228">
        <f t="shared" si="66"/>
        <v>40.462427745664741</v>
      </c>
      <c r="S91" s="25">
        <f t="shared" si="67"/>
        <v>4.6242774566474054</v>
      </c>
    </row>
    <row r="92" spans="1:19" ht="13.5" customHeight="1" x14ac:dyDescent="0.2">
      <c r="J92" s="83" t="str">
        <f>J78</f>
        <v>家事従事(n = 150 )　　</v>
      </c>
      <c r="K92" s="89">
        <f t="shared" ref="K92:P92" si="72">L79</f>
        <v>6</v>
      </c>
      <c r="L92" s="90">
        <f t="shared" si="72"/>
        <v>42.666666666666671</v>
      </c>
      <c r="M92" s="89">
        <f t="shared" si="72"/>
        <v>30</v>
      </c>
      <c r="N92" s="90">
        <f t="shared" si="72"/>
        <v>8.6666666666666679</v>
      </c>
      <c r="O92" s="90">
        <f t="shared" si="72"/>
        <v>12</v>
      </c>
      <c r="P92" s="91">
        <f t="shared" si="72"/>
        <v>0.66666666666666674</v>
      </c>
      <c r="Q92" s="228">
        <f t="shared" si="65"/>
        <v>48.666666666666671</v>
      </c>
      <c r="R92" s="228">
        <f t="shared" si="66"/>
        <v>38.666666666666671</v>
      </c>
      <c r="S92" s="25">
        <f t="shared" si="67"/>
        <v>10</v>
      </c>
    </row>
    <row r="93" spans="1:19" ht="13.5" customHeight="1" x14ac:dyDescent="0.2">
      <c r="J93" s="83" t="str">
        <f>J80</f>
        <v>無職(n = 263 )　　</v>
      </c>
      <c r="K93" s="89">
        <f t="shared" ref="K93:P93" si="73">L81</f>
        <v>7.9847908745247151</v>
      </c>
      <c r="L93" s="90">
        <f t="shared" si="73"/>
        <v>41.825095057034225</v>
      </c>
      <c r="M93" s="89">
        <f t="shared" si="73"/>
        <v>28.897338403041822</v>
      </c>
      <c r="N93" s="90">
        <f t="shared" si="73"/>
        <v>9.1254752851711025</v>
      </c>
      <c r="O93" s="90">
        <f t="shared" si="73"/>
        <v>11.02661596958175</v>
      </c>
      <c r="P93" s="91">
        <f t="shared" si="73"/>
        <v>1.1406844106463878</v>
      </c>
      <c r="Q93" s="228">
        <f t="shared" si="65"/>
        <v>49.809885931558938</v>
      </c>
      <c r="R93" s="228">
        <f t="shared" si="66"/>
        <v>38.022813688212921</v>
      </c>
      <c r="S93" s="25">
        <f t="shared" si="67"/>
        <v>11.787072243346017</v>
      </c>
    </row>
    <row r="94" spans="1:19" ht="13.5" customHeight="1" x14ac:dyDescent="0.2">
      <c r="J94" s="69" t="str">
        <f>J82</f>
        <v>その他(n = 74 )　　</v>
      </c>
      <c r="K94" s="79">
        <f t="shared" ref="K94:P94" si="74">L83</f>
        <v>6.756756756756757</v>
      </c>
      <c r="L94" s="80">
        <f t="shared" si="74"/>
        <v>31.081081081081081</v>
      </c>
      <c r="M94" s="79">
        <f t="shared" si="74"/>
        <v>39.189189189189186</v>
      </c>
      <c r="N94" s="80">
        <f t="shared" si="74"/>
        <v>14.864864864864865</v>
      </c>
      <c r="O94" s="80">
        <f t="shared" si="74"/>
        <v>8.1081081081081088</v>
      </c>
      <c r="P94" s="81">
        <f t="shared" si="74"/>
        <v>0</v>
      </c>
      <c r="Q94" s="228">
        <f t="shared" si="65"/>
        <v>37.837837837837839</v>
      </c>
      <c r="R94" s="228">
        <f t="shared" si="66"/>
        <v>54.054054054054049</v>
      </c>
      <c r="S94" s="25">
        <f t="shared" si="67"/>
        <v>-16.21621621621621</v>
      </c>
    </row>
  </sheetData>
  <mergeCells count="36">
    <mergeCell ref="A40:A41"/>
    <mergeCell ref="A24:A25"/>
    <mergeCell ref="A26:A27"/>
    <mergeCell ref="A28:A29"/>
    <mergeCell ref="A34:A35"/>
    <mergeCell ref="A38:A39"/>
    <mergeCell ref="A36:A37"/>
    <mergeCell ref="J68:J69"/>
    <mergeCell ref="A42:A43"/>
    <mergeCell ref="A44:A45"/>
    <mergeCell ref="A46:A47"/>
    <mergeCell ref="A48:A49"/>
    <mergeCell ref="A53:A54"/>
    <mergeCell ref="A55:A56"/>
    <mergeCell ref="A57:A58"/>
    <mergeCell ref="A59:A60"/>
    <mergeCell ref="A61:A62"/>
    <mergeCell ref="A63:A64"/>
    <mergeCell ref="A68:A69"/>
    <mergeCell ref="A70:A71"/>
    <mergeCell ref="J70:J71"/>
    <mergeCell ref="A72:A73"/>
    <mergeCell ref="J72:J73"/>
    <mergeCell ref="A74:A75"/>
    <mergeCell ref="J74:J75"/>
    <mergeCell ref="A76:A77"/>
    <mergeCell ref="J76:J77"/>
    <mergeCell ref="A78:A79"/>
    <mergeCell ref="J78:J79"/>
    <mergeCell ref="A80:A81"/>
    <mergeCell ref="J80:J81"/>
    <mergeCell ref="A82:A83"/>
    <mergeCell ref="J82:J83"/>
    <mergeCell ref="A84:A85"/>
    <mergeCell ref="J84:J85"/>
    <mergeCell ref="A86:A87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74"/>
  <sheetViews>
    <sheetView topLeftCell="A54" zoomScaleNormal="100" workbookViewId="0"/>
  </sheetViews>
  <sheetFormatPr defaultRowHeight="13.2" x14ac:dyDescent="0.2"/>
  <sheetData>
    <row r="1" spans="1:18" x14ac:dyDescent="0.2">
      <c r="A1" s="3" t="s">
        <v>333</v>
      </c>
      <c r="B1" s="1" t="s">
        <v>332</v>
      </c>
      <c r="C1" s="8"/>
      <c r="D1" s="8"/>
      <c r="E1" s="8"/>
      <c r="F1" s="8"/>
      <c r="G1" s="8"/>
      <c r="H1" s="8"/>
      <c r="I1" s="8"/>
      <c r="J1" s="9" t="s">
        <v>1</v>
      </c>
    </row>
    <row r="2" spans="1:18" ht="75.599999999999994" x14ac:dyDescent="0.2">
      <c r="A2" s="12" t="s">
        <v>20</v>
      </c>
      <c r="B2" s="59" t="s">
        <v>3</v>
      </c>
      <c r="C2" s="60" t="s">
        <v>331</v>
      </c>
      <c r="D2" s="61" t="s">
        <v>330</v>
      </c>
      <c r="E2" s="61" t="s">
        <v>329</v>
      </c>
      <c r="F2" s="61" t="s">
        <v>328</v>
      </c>
      <c r="G2" s="61" t="s">
        <v>327</v>
      </c>
      <c r="H2" s="61" t="s">
        <v>101</v>
      </c>
      <c r="I2" s="63" t="s">
        <v>0</v>
      </c>
      <c r="J2" s="21" t="s">
        <v>32</v>
      </c>
      <c r="K2" s="12" t="str">
        <f>A2</f>
        <v>【性別】</v>
      </c>
      <c r="L2" s="60" t="str">
        <f t="shared" ref="L2:R2" si="0">C2</f>
        <v>県の行政そのものに興味がないから</v>
      </c>
      <c r="M2" s="61" t="str">
        <f t="shared" si="0"/>
        <v>県がどのような仕事をしているのか知らないから</v>
      </c>
      <c r="N2" s="62" t="str">
        <f t="shared" si="0"/>
        <v>県の仕事は、自分に関係がないから</v>
      </c>
      <c r="O2" s="61" t="str">
        <f t="shared" si="0"/>
        <v>県の施設を利用したり、県の仕事に接する機会が少ないから</v>
      </c>
      <c r="P2" s="62" t="str">
        <f t="shared" si="0"/>
        <v>自分たちの意見が反映されるとは思えないから</v>
      </c>
      <c r="Q2" s="62" t="str">
        <f t="shared" si="0"/>
        <v>その他</v>
      </c>
      <c r="R2" s="63" t="str">
        <f t="shared" si="0"/>
        <v>無回答</v>
      </c>
    </row>
    <row r="3" spans="1:18" ht="13.5" customHeight="1" x14ac:dyDescent="0.2">
      <c r="A3" s="273" t="str">
        <f>"全体(n = "&amp;B3&amp;" )　　"</f>
        <v>全体(n = 684 )　　</v>
      </c>
      <c r="B3" s="34">
        <v>684</v>
      </c>
      <c r="C3" s="31">
        <v>76</v>
      </c>
      <c r="D3" s="32">
        <v>166</v>
      </c>
      <c r="E3" s="32">
        <v>22</v>
      </c>
      <c r="F3" s="32">
        <v>284</v>
      </c>
      <c r="G3" s="32">
        <v>113</v>
      </c>
      <c r="H3" s="32">
        <v>22</v>
      </c>
      <c r="I3" s="33">
        <v>1</v>
      </c>
      <c r="J3" s="7"/>
      <c r="K3" s="67" t="str">
        <f>A3</f>
        <v>全体(n = 684 )　　</v>
      </c>
      <c r="L3" s="70">
        <f t="shared" ref="L3:R3" si="1">C4</f>
        <v>11.111111111111111</v>
      </c>
      <c r="M3" s="71">
        <f t="shared" si="1"/>
        <v>24.269005847953213</v>
      </c>
      <c r="N3" s="72">
        <f t="shared" si="1"/>
        <v>3.2163742690058479</v>
      </c>
      <c r="O3" s="71">
        <f t="shared" si="1"/>
        <v>41.520467836257311</v>
      </c>
      <c r="P3" s="72">
        <f t="shared" si="1"/>
        <v>16.520467836257311</v>
      </c>
      <c r="Q3" s="72">
        <f t="shared" si="1"/>
        <v>3.2163742690058479</v>
      </c>
      <c r="R3" s="73">
        <f t="shared" si="1"/>
        <v>0.14619883040935672</v>
      </c>
    </row>
    <row r="4" spans="1:18" ht="13.5" customHeight="1" x14ac:dyDescent="0.2">
      <c r="A4" s="274"/>
      <c r="B4" s="35">
        <v>100</v>
      </c>
      <c r="C4" s="20">
        <f t="shared" ref="C4:I4" si="2">C3/$B$3*100</f>
        <v>11.111111111111111</v>
      </c>
      <c r="D4" s="207">
        <f t="shared" si="2"/>
        <v>24.269005847953213</v>
      </c>
      <c r="E4" s="207">
        <f t="shared" si="2"/>
        <v>3.2163742690058479</v>
      </c>
      <c r="F4" s="207">
        <f t="shared" si="2"/>
        <v>41.520467836257311</v>
      </c>
      <c r="G4" s="207">
        <f t="shared" si="2"/>
        <v>16.520467836257311</v>
      </c>
      <c r="H4" s="207">
        <f t="shared" si="2"/>
        <v>3.2163742690058479</v>
      </c>
      <c r="I4" s="208">
        <f t="shared" si="2"/>
        <v>0.14619883040935672</v>
      </c>
      <c r="J4" s="7"/>
      <c r="K4" s="68" t="str">
        <f>A5</f>
        <v>男性(n = 317 )　　</v>
      </c>
      <c r="L4" s="74">
        <f t="shared" ref="L4:R4" si="3">C6</f>
        <v>12.302839116719243</v>
      </c>
      <c r="M4" s="75">
        <f t="shared" si="3"/>
        <v>25.552050473186121</v>
      </c>
      <c r="N4" s="76">
        <f t="shared" si="3"/>
        <v>3.7854889589905363</v>
      </c>
      <c r="O4" s="75">
        <f t="shared" si="3"/>
        <v>37.854889589905362</v>
      </c>
      <c r="P4" s="76">
        <f t="shared" si="3"/>
        <v>16.403785488958992</v>
      </c>
      <c r="Q4" s="76">
        <f t="shared" si="3"/>
        <v>4.1009463722397479</v>
      </c>
      <c r="R4" s="77">
        <f t="shared" si="3"/>
        <v>0</v>
      </c>
    </row>
    <row r="5" spans="1:18" ht="13.5" customHeight="1" x14ac:dyDescent="0.2">
      <c r="A5" s="273" t="str">
        <f>"男性(n = "&amp;B5&amp;" )　　"</f>
        <v>男性(n = 317 )　　</v>
      </c>
      <c r="B5" s="34">
        <v>317</v>
      </c>
      <c r="C5" s="28">
        <v>39</v>
      </c>
      <c r="D5" s="29">
        <v>81</v>
      </c>
      <c r="E5" s="29">
        <v>12</v>
      </c>
      <c r="F5" s="29">
        <v>120</v>
      </c>
      <c r="G5" s="29">
        <v>52</v>
      </c>
      <c r="H5" s="29">
        <v>13</v>
      </c>
      <c r="I5" s="30">
        <v>0</v>
      </c>
      <c r="J5">
        <f>'問9S（表）'!E26+'問9S（表）'!F26</f>
        <v>317</v>
      </c>
      <c r="K5" s="69" t="str">
        <f>A7</f>
        <v>女性(n = 363 )　　</v>
      </c>
      <c r="L5" s="78">
        <f t="shared" ref="L5:R5" si="4">C8</f>
        <v>10.192837465564738</v>
      </c>
      <c r="M5" s="79">
        <f t="shared" si="4"/>
        <v>23.140495867768596</v>
      </c>
      <c r="N5" s="80">
        <f t="shared" si="4"/>
        <v>2.7548209366391188</v>
      </c>
      <c r="O5" s="79">
        <f t="shared" si="4"/>
        <v>44.352617079889804</v>
      </c>
      <c r="P5" s="80">
        <f t="shared" si="4"/>
        <v>16.804407713498623</v>
      </c>
      <c r="Q5" s="80">
        <f t="shared" si="4"/>
        <v>2.4793388429752068</v>
      </c>
      <c r="R5" s="81">
        <f t="shared" si="4"/>
        <v>0.27548209366391185</v>
      </c>
    </row>
    <row r="6" spans="1:18" x14ac:dyDescent="0.2">
      <c r="A6" s="274"/>
      <c r="B6" s="35">
        <f>B5/$B$3*100</f>
        <v>46.345029239766085</v>
      </c>
      <c r="C6" s="20">
        <f t="shared" ref="C6:I6" si="5">C5/$B$5*100</f>
        <v>12.302839116719243</v>
      </c>
      <c r="D6" s="207">
        <f t="shared" si="5"/>
        <v>25.552050473186121</v>
      </c>
      <c r="E6" s="207">
        <f t="shared" si="5"/>
        <v>3.7854889589905363</v>
      </c>
      <c r="F6" s="207">
        <f t="shared" si="5"/>
        <v>37.854889589905362</v>
      </c>
      <c r="G6" s="207">
        <f t="shared" si="5"/>
        <v>16.403785488958992</v>
      </c>
      <c r="H6" s="207">
        <f t="shared" si="5"/>
        <v>4.1009463722397479</v>
      </c>
      <c r="I6" s="208">
        <f t="shared" si="5"/>
        <v>0</v>
      </c>
    </row>
    <row r="7" spans="1:18" ht="13.5" customHeight="1" x14ac:dyDescent="0.2">
      <c r="A7" s="273" t="str">
        <f>"女性(n = "&amp;B7&amp;" )　　"</f>
        <v>女性(n = 363 )　　</v>
      </c>
      <c r="B7" s="34">
        <v>363</v>
      </c>
      <c r="C7" s="28">
        <v>37</v>
      </c>
      <c r="D7" s="29">
        <v>84</v>
      </c>
      <c r="E7" s="29">
        <v>10</v>
      </c>
      <c r="F7" s="29">
        <v>161</v>
      </c>
      <c r="G7" s="29">
        <v>61</v>
      </c>
      <c r="H7" s="29">
        <v>9</v>
      </c>
      <c r="I7" s="30">
        <v>1</v>
      </c>
      <c r="J7">
        <f>'問9S（表）'!E28+'問9S（表）'!F28</f>
        <v>363</v>
      </c>
    </row>
    <row r="8" spans="1:18" x14ac:dyDescent="0.2">
      <c r="A8" s="274"/>
      <c r="B8" s="35">
        <f>B7/$B$3*100</f>
        <v>53.070175438596493</v>
      </c>
      <c r="C8" s="20">
        <f t="shared" ref="C8:I8" si="6">C7/$B$7*100</f>
        <v>10.192837465564738</v>
      </c>
      <c r="D8" s="207">
        <f t="shared" si="6"/>
        <v>23.140495867768596</v>
      </c>
      <c r="E8" s="207">
        <f t="shared" si="6"/>
        <v>2.7548209366391188</v>
      </c>
      <c r="F8" s="207">
        <f t="shared" si="6"/>
        <v>44.352617079889804</v>
      </c>
      <c r="G8" s="207">
        <f t="shared" si="6"/>
        <v>16.804407713498623</v>
      </c>
      <c r="H8" s="207">
        <f t="shared" si="6"/>
        <v>2.4793388429752068</v>
      </c>
      <c r="I8" s="208">
        <f t="shared" si="6"/>
        <v>0.27548209366391185</v>
      </c>
    </row>
    <row r="9" spans="1:18" s="186" customFormat="1" x14ac:dyDescent="0.2">
      <c r="A9" s="184"/>
      <c r="B9" s="182"/>
      <c r="C9" s="182">
        <v>1</v>
      </c>
      <c r="D9" s="182">
        <v>2</v>
      </c>
      <c r="E9" s="182">
        <v>3</v>
      </c>
      <c r="F9" s="182">
        <v>4</v>
      </c>
      <c r="G9" s="182">
        <v>5</v>
      </c>
      <c r="H9" s="182">
        <v>6</v>
      </c>
      <c r="I9" s="182"/>
      <c r="J9" s="182"/>
      <c r="K9" s="182"/>
      <c r="L9" s="182"/>
      <c r="M9" s="182"/>
      <c r="N9" s="182"/>
      <c r="O9" s="226"/>
    </row>
    <row r="11" spans="1:18" x14ac:dyDescent="0.2">
      <c r="A11" s="3" t="s">
        <v>326</v>
      </c>
      <c r="B11" s="1" t="str">
        <f>B1</f>
        <v>県事業に関心がない理由</v>
      </c>
      <c r="C11" s="8"/>
      <c r="D11" s="8"/>
      <c r="E11" s="8"/>
      <c r="F11" s="8"/>
      <c r="G11" s="9" t="s">
        <v>1</v>
      </c>
      <c r="H11" s="9"/>
      <c r="I11" s="9" t="s">
        <v>1</v>
      </c>
    </row>
    <row r="12" spans="1:18" ht="67.5" customHeight="1" x14ac:dyDescent="0.2">
      <c r="A12" s="12" t="s">
        <v>25</v>
      </c>
      <c r="B12" s="59" t="str">
        <f>B2</f>
        <v>調査数</v>
      </c>
      <c r="C12" s="60" t="str">
        <f t="shared" ref="C12:I12" si="7">C2</f>
        <v>県の行政そのものに興味がないから</v>
      </c>
      <c r="D12" s="61" t="str">
        <f t="shared" si="7"/>
        <v>県がどのような仕事をしているのか知らないから</v>
      </c>
      <c r="E12" s="62" t="str">
        <f t="shared" si="7"/>
        <v>県の仕事は、自分に関係がないから</v>
      </c>
      <c r="F12" s="61" t="str">
        <f t="shared" si="7"/>
        <v>県の施設を利用したり、県の仕事に接する機会が少ないから</v>
      </c>
      <c r="G12" s="62" t="str">
        <f t="shared" si="7"/>
        <v>自分たちの意見が反映されるとは思えないから</v>
      </c>
      <c r="H12" s="62" t="str">
        <f t="shared" si="7"/>
        <v>その他</v>
      </c>
      <c r="I12" s="63" t="str">
        <f t="shared" si="7"/>
        <v>無回答</v>
      </c>
      <c r="J12" s="21" t="s">
        <v>32</v>
      </c>
      <c r="K12" s="12" t="str">
        <f>A12</f>
        <v>【年代別】</v>
      </c>
      <c r="L12" s="60" t="str">
        <f t="shared" ref="L12:R12" si="8">C12</f>
        <v>県の行政そのものに興味がないから</v>
      </c>
      <c r="M12" s="61" t="str">
        <f t="shared" si="8"/>
        <v>県がどのような仕事をしているのか知らないから</v>
      </c>
      <c r="N12" s="62" t="str">
        <f t="shared" si="8"/>
        <v>県の仕事は、自分に関係がないから</v>
      </c>
      <c r="O12" s="61" t="str">
        <f t="shared" si="8"/>
        <v>県の施設を利用したり、県の仕事に接する機会が少ないから</v>
      </c>
      <c r="P12" s="62" t="str">
        <f t="shared" si="8"/>
        <v>自分たちの意見が反映されるとは思えないから</v>
      </c>
      <c r="Q12" s="62" t="str">
        <f t="shared" si="8"/>
        <v>その他</v>
      </c>
      <c r="R12" s="63" t="str">
        <f t="shared" si="8"/>
        <v>無回答</v>
      </c>
    </row>
    <row r="13" spans="1:18" ht="13.5" customHeight="1" x14ac:dyDescent="0.2">
      <c r="A13" s="275" t="str">
        <f>A3</f>
        <v>全体(n = 684 )　　</v>
      </c>
      <c r="B13" s="34">
        <v>684</v>
      </c>
      <c r="C13" s="31">
        <f>$C$3</f>
        <v>76</v>
      </c>
      <c r="D13" s="32">
        <f>$D$3</f>
        <v>166</v>
      </c>
      <c r="E13" s="32">
        <f>$E$3</f>
        <v>22</v>
      </c>
      <c r="F13" s="32">
        <f>$F$3</f>
        <v>284</v>
      </c>
      <c r="G13" s="32">
        <f>$G$3</f>
        <v>113</v>
      </c>
      <c r="H13" s="32">
        <f>$H$3</f>
        <v>22</v>
      </c>
      <c r="I13" s="33">
        <f>$I$3</f>
        <v>1</v>
      </c>
      <c r="K13" s="67" t="str">
        <f>A13</f>
        <v>全体(n = 684 )　　</v>
      </c>
      <c r="L13" s="70">
        <f t="shared" ref="L13:R13" si="9">C14</f>
        <v>11.111111111111111</v>
      </c>
      <c r="M13" s="71">
        <f t="shared" si="9"/>
        <v>24.269005847953213</v>
      </c>
      <c r="N13" s="72">
        <f t="shared" si="9"/>
        <v>3.2163742690058479</v>
      </c>
      <c r="O13" s="71">
        <f t="shared" si="9"/>
        <v>41.520467836257311</v>
      </c>
      <c r="P13" s="72">
        <f t="shared" si="9"/>
        <v>16.520467836257311</v>
      </c>
      <c r="Q13" s="72">
        <f t="shared" si="9"/>
        <v>3.2163742690058479</v>
      </c>
      <c r="R13" s="73">
        <f t="shared" si="9"/>
        <v>0.14619883040935672</v>
      </c>
    </row>
    <row r="14" spans="1:18" ht="13.5" customHeight="1" x14ac:dyDescent="0.2">
      <c r="A14" s="276"/>
      <c r="B14" s="35">
        <v>100</v>
      </c>
      <c r="C14" s="20">
        <f t="shared" ref="C14:I14" si="10">C13/$B$3*100</f>
        <v>11.111111111111111</v>
      </c>
      <c r="D14" s="207">
        <f t="shared" si="10"/>
        <v>24.269005847953213</v>
      </c>
      <c r="E14" s="207">
        <f t="shared" si="10"/>
        <v>3.2163742690058479</v>
      </c>
      <c r="F14" s="207">
        <f t="shared" si="10"/>
        <v>41.520467836257311</v>
      </c>
      <c r="G14" s="207">
        <f t="shared" si="10"/>
        <v>16.520467836257311</v>
      </c>
      <c r="H14" s="207">
        <f t="shared" si="10"/>
        <v>3.2163742690058479</v>
      </c>
      <c r="I14" s="208">
        <f t="shared" si="10"/>
        <v>0.14619883040935672</v>
      </c>
      <c r="K14" s="82" t="str">
        <f>A15</f>
        <v>18～19歳(n = 11 )　　</v>
      </c>
      <c r="L14" s="84">
        <f t="shared" ref="L14:R14" si="11">C16</f>
        <v>0</v>
      </c>
      <c r="M14" s="85">
        <f t="shared" si="11"/>
        <v>36.363636363636367</v>
      </c>
      <c r="N14" s="86">
        <f t="shared" si="11"/>
        <v>9.0909090909090917</v>
      </c>
      <c r="O14" s="85">
        <f t="shared" si="11"/>
        <v>54.54545454545454</v>
      </c>
      <c r="P14" s="86">
        <f t="shared" si="11"/>
        <v>0</v>
      </c>
      <c r="Q14" s="86">
        <f t="shared" si="11"/>
        <v>0</v>
      </c>
      <c r="R14" s="87">
        <f t="shared" si="11"/>
        <v>0</v>
      </c>
    </row>
    <row r="15" spans="1:18" ht="13.5" customHeight="1" x14ac:dyDescent="0.2">
      <c r="A15" s="273" t="str">
        <f>"18～19歳(n = "&amp;B15&amp;" )　　"</f>
        <v>18～19歳(n = 11 )　　</v>
      </c>
      <c r="B15" s="34">
        <v>11</v>
      </c>
      <c r="C15" s="28">
        <v>0</v>
      </c>
      <c r="D15" s="29">
        <v>4</v>
      </c>
      <c r="E15" s="29">
        <v>1</v>
      </c>
      <c r="F15" s="29">
        <v>6</v>
      </c>
      <c r="G15" s="29">
        <v>0</v>
      </c>
      <c r="H15" s="29">
        <v>0</v>
      </c>
      <c r="I15" s="30">
        <v>0</v>
      </c>
      <c r="J15">
        <f>'問9S（表）'!E36+'問9S（表）'!F36</f>
        <v>11</v>
      </c>
      <c r="K15" s="83" t="str">
        <f>A17</f>
        <v>20～29歳(n = 68 )　　</v>
      </c>
      <c r="L15" s="88">
        <f t="shared" ref="L15:R15" si="12">C18</f>
        <v>25</v>
      </c>
      <c r="M15" s="89">
        <f t="shared" si="12"/>
        <v>25</v>
      </c>
      <c r="N15" s="90">
        <f t="shared" si="12"/>
        <v>1.4705882352941175</v>
      </c>
      <c r="O15" s="89">
        <f t="shared" si="12"/>
        <v>30.882352941176471</v>
      </c>
      <c r="P15" s="90">
        <f t="shared" si="12"/>
        <v>16.176470588235293</v>
      </c>
      <c r="Q15" s="90">
        <f t="shared" si="12"/>
        <v>1.4705882352941175</v>
      </c>
      <c r="R15" s="91">
        <f t="shared" si="12"/>
        <v>0</v>
      </c>
    </row>
    <row r="16" spans="1:18" ht="13.5" customHeight="1" x14ac:dyDescent="0.2">
      <c r="A16" s="274"/>
      <c r="B16" s="35">
        <f>B15/$B$13*100</f>
        <v>1.6081871345029239</v>
      </c>
      <c r="C16" s="20">
        <f t="shared" ref="C16:H16" si="13">C15/$B$15*100</f>
        <v>0</v>
      </c>
      <c r="D16" s="207">
        <f t="shared" si="13"/>
        <v>36.363636363636367</v>
      </c>
      <c r="E16" s="207">
        <f t="shared" si="13"/>
        <v>9.0909090909090917</v>
      </c>
      <c r="F16" s="207">
        <f t="shared" si="13"/>
        <v>54.54545454545454</v>
      </c>
      <c r="G16" s="207">
        <f t="shared" si="13"/>
        <v>0</v>
      </c>
      <c r="H16" s="207">
        <f t="shared" si="13"/>
        <v>0</v>
      </c>
      <c r="I16" s="208">
        <v>0</v>
      </c>
      <c r="K16" s="83" t="str">
        <f>A19</f>
        <v>30～39歳(n = 91 )　　</v>
      </c>
      <c r="L16" s="88">
        <f t="shared" ref="L16:R16" si="14">C20</f>
        <v>8.791208791208792</v>
      </c>
      <c r="M16" s="89">
        <f t="shared" si="14"/>
        <v>26.373626373626376</v>
      </c>
      <c r="N16" s="90">
        <f t="shared" si="14"/>
        <v>2.197802197802198</v>
      </c>
      <c r="O16" s="89">
        <f t="shared" si="14"/>
        <v>35.164835164835168</v>
      </c>
      <c r="P16" s="90">
        <f t="shared" si="14"/>
        <v>25.274725274725274</v>
      </c>
      <c r="Q16" s="90">
        <f t="shared" si="14"/>
        <v>2.197802197802198</v>
      </c>
      <c r="R16" s="91">
        <f t="shared" si="14"/>
        <v>0</v>
      </c>
    </row>
    <row r="17" spans="1:18" ht="13.5" customHeight="1" x14ac:dyDescent="0.2">
      <c r="A17" s="273" t="str">
        <f>"20～29歳(n = "&amp;B17&amp;" )　　"</f>
        <v>20～29歳(n = 68 )　　</v>
      </c>
      <c r="B17" s="34">
        <v>68</v>
      </c>
      <c r="C17" s="28">
        <v>17</v>
      </c>
      <c r="D17" s="29">
        <v>17</v>
      </c>
      <c r="E17" s="29">
        <v>1</v>
      </c>
      <c r="F17" s="29">
        <v>21</v>
      </c>
      <c r="G17" s="29">
        <v>11</v>
      </c>
      <c r="H17" s="29">
        <v>1</v>
      </c>
      <c r="I17" s="30">
        <v>0</v>
      </c>
      <c r="J17">
        <f>'問9S（表）'!E38+'問9S（表）'!F38</f>
        <v>68</v>
      </c>
      <c r="K17" s="83" t="str">
        <f>A21</f>
        <v>40～49歳(n = 116 )　　</v>
      </c>
      <c r="L17" s="88">
        <f t="shared" ref="L17:R17" si="15">C22</f>
        <v>15.517241379310345</v>
      </c>
      <c r="M17" s="89">
        <f t="shared" si="15"/>
        <v>25</v>
      </c>
      <c r="N17" s="90">
        <f t="shared" si="15"/>
        <v>1.7241379310344827</v>
      </c>
      <c r="O17" s="89">
        <f t="shared" si="15"/>
        <v>37.068965517241381</v>
      </c>
      <c r="P17" s="90">
        <f t="shared" si="15"/>
        <v>16.379310344827587</v>
      </c>
      <c r="Q17" s="90">
        <f t="shared" si="15"/>
        <v>4.3103448275862073</v>
      </c>
      <c r="R17" s="91">
        <f t="shared" si="15"/>
        <v>0</v>
      </c>
    </row>
    <row r="18" spans="1:18" ht="13.5" customHeight="1" x14ac:dyDescent="0.2">
      <c r="A18" s="274"/>
      <c r="B18" s="35">
        <f>B17/$B$13*100</f>
        <v>9.9415204678362574</v>
      </c>
      <c r="C18" s="20">
        <f t="shared" ref="C18:I18" si="16">C17/$B$17*100</f>
        <v>25</v>
      </c>
      <c r="D18" s="207">
        <f t="shared" si="16"/>
        <v>25</v>
      </c>
      <c r="E18" s="207">
        <f t="shared" si="16"/>
        <v>1.4705882352941175</v>
      </c>
      <c r="F18" s="207">
        <f t="shared" si="16"/>
        <v>30.882352941176471</v>
      </c>
      <c r="G18" s="207">
        <f t="shared" si="16"/>
        <v>16.176470588235293</v>
      </c>
      <c r="H18" s="207">
        <f t="shared" si="16"/>
        <v>1.4705882352941175</v>
      </c>
      <c r="I18" s="208">
        <f t="shared" si="16"/>
        <v>0</v>
      </c>
      <c r="K18" s="83" t="str">
        <f>A23</f>
        <v>50～59歳(n = 139 )　　</v>
      </c>
      <c r="L18" s="88">
        <f t="shared" ref="L18:R18" si="17">C24</f>
        <v>12.23021582733813</v>
      </c>
      <c r="M18" s="89">
        <f t="shared" si="17"/>
        <v>22.302158273381295</v>
      </c>
      <c r="N18" s="90">
        <f t="shared" si="17"/>
        <v>3.5971223021582732</v>
      </c>
      <c r="O18" s="89">
        <f t="shared" si="17"/>
        <v>41.007194244604314</v>
      </c>
      <c r="P18" s="90">
        <f t="shared" si="17"/>
        <v>17.266187050359711</v>
      </c>
      <c r="Q18" s="90">
        <f t="shared" si="17"/>
        <v>3.5971223021582732</v>
      </c>
      <c r="R18" s="91">
        <f t="shared" si="17"/>
        <v>0</v>
      </c>
    </row>
    <row r="19" spans="1:18" ht="13.5" customHeight="1" x14ac:dyDescent="0.2">
      <c r="A19" s="273" t="str">
        <f>"30～39歳(n = "&amp;B19&amp;" )　　"</f>
        <v>30～39歳(n = 91 )　　</v>
      </c>
      <c r="B19" s="34">
        <v>91</v>
      </c>
      <c r="C19" s="28">
        <v>8</v>
      </c>
      <c r="D19" s="29">
        <v>24</v>
      </c>
      <c r="E19" s="29">
        <v>2</v>
      </c>
      <c r="F19" s="29">
        <v>32</v>
      </c>
      <c r="G19" s="29">
        <v>23</v>
      </c>
      <c r="H19" s="29">
        <v>2</v>
      </c>
      <c r="I19" s="30">
        <v>0</v>
      </c>
      <c r="J19">
        <f>'問9S（表）'!E40+'問9S（表）'!F40</f>
        <v>91</v>
      </c>
      <c r="K19" s="83" t="str">
        <f>A25</f>
        <v>60～69歳(n = 148 )　　</v>
      </c>
      <c r="L19" s="88">
        <f t="shared" ref="L19:R19" si="18">C26</f>
        <v>6.756756756756757</v>
      </c>
      <c r="M19" s="89">
        <f t="shared" si="18"/>
        <v>21.621621621621621</v>
      </c>
      <c r="N19" s="90">
        <f t="shared" si="18"/>
        <v>6.0810810810810816</v>
      </c>
      <c r="O19" s="89">
        <f t="shared" si="18"/>
        <v>46.621621621621621</v>
      </c>
      <c r="P19" s="90">
        <f t="shared" si="18"/>
        <v>16.216216216216218</v>
      </c>
      <c r="Q19" s="90">
        <f t="shared" si="18"/>
        <v>2.7027027027027026</v>
      </c>
      <c r="R19" s="91">
        <f t="shared" si="18"/>
        <v>0</v>
      </c>
    </row>
    <row r="20" spans="1:18" ht="13.5" customHeight="1" x14ac:dyDescent="0.2">
      <c r="A20" s="274"/>
      <c r="B20" s="35">
        <f>B19/$B$13*100</f>
        <v>13.304093567251464</v>
      </c>
      <c r="C20" s="20">
        <f t="shared" ref="C20:I20" si="19">C19/$B$19*100</f>
        <v>8.791208791208792</v>
      </c>
      <c r="D20" s="207">
        <f t="shared" si="19"/>
        <v>26.373626373626376</v>
      </c>
      <c r="E20" s="207">
        <f t="shared" si="19"/>
        <v>2.197802197802198</v>
      </c>
      <c r="F20" s="207">
        <f t="shared" si="19"/>
        <v>35.164835164835168</v>
      </c>
      <c r="G20" s="207">
        <f t="shared" si="19"/>
        <v>25.274725274725274</v>
      </c>
      <c r="H20" s="207">
        <f t="shared" si="19"/>
        <v>2.197802197802198</v>
      </c>
      <c r="I20" s="208">
        <f t="shared" si="19"/>
        <v>0</v>
      </c>
      <c r="K20" s="69" t="str">
        <f>A27</f>
        <v>70歳以上(n = 109 )　　</v>
      </c>
      <c r="L20" s="78">
        <f t="shared" ref="L20:R20" si="20">C28</f>
        <v>5.5045871559633035</v>
      </c>
      <c r="M20" s="79">
        <f t="shared" si="20"/>
        <v>25.688073394495415</v>
      </c>
      <c r="N20" s="80">
        <f t="shared" si="20"/>
        <v>1.834862385321101</v>
      </c>
      <c r="O20" s="79">
        <f t="shared" si="20"/>
        <v>51.37614678899083</v>
      </c>
      <c r="P20" s="80">
        <f t="shared" si="20"/>
        <v>10.091743119266056</v>
      </c>
      <c r="Q20" s="80">
        <f t="shared" si="20"/>
        <v>4.5871559633027523</v>
      </c>
      <c r="R20" s="81">
        <f t="shared" si="20"/>
        <v>0.91743119266055051</v>
      </c>
    </row>
    <row r="21" spans="1:18" ht="13.5" customHeight="1" x14ac:dyDescent="0.2">
      <c r="A21" s="273" t="str">
        <f>"40～49歳(n = "&amp;B21&amp;" )　　"</f>
        <v>40～49歳(n = 116 )　　</v>
      </c>
      <c r="B21" s="34">
        <v>116</v>
      </c>
      <c r="C21" s="28">
        <v>18</v>
      </c>
      <c r="D21" s="29">
        <v>29</v>
      </c>
      <c r="E21" s="29">
        <v>2</v>
      </c>
      <c r="F21" s="29">
        <v>43</v>
      </c>
      <c r="G21" s="29">
        <v>19</v>
      </c>
      <c r="H21" s="29">
        <v>5</v>
      </c>
      <c r="I21" s="30">
        <v>0</v>
      </c>
      <c r="J21">
        <f>'問9S（表）'!E42+'問9S（表）'!F42</f>
        <v>116</v>
      </c>
    </row>
    <row r="22" spans="1:18" ht="13.5" customHeight="1" x14ac:dyDescent="0.2">
      <c r="A22" s="274"/>
      <c r="B22" s="35">
        <f>B21/$B$13*100</f>
        <v>16.959064327485379</v>
      </c>
      <c r="C22" s="20">
        <f t="shared" ref="C22:I22" si="21">C21/$B$21*100</f>
        <v>15.517241379310345</v>
      </c>
      <c r="D22" s="207">
        <f t="shared" si="21"/>
        <v>25</v>
      </c>
      <c r="E22" s="207">
        <f t="shared" si="21"/>
        <v>1.7241379310344827</v>
      </c>
      <c r="F22" s="207">
        <f t="shared" si="21"/>
        <v>37.068965517241381</v>
      </c>
      <c r="G22" s="207">
        <f t="shared" si="21"/>
        <v>16.379310344827587</v>
      </c>
      <c r="H22" s="207">
        <f t="shared" si="21"/>
        <v>4.3103448275862073</v>
      </c>
      <c r="I22" s="208">
        <f t="shared" si="21"/>
        <v>0</v>
      </c>
    </row>
    <row r="23" spans="1:18" ht="13.5" customHeight="1" x14ac:dyDescent="0.2">
      <c r="A23" s="273" t="str">
        <f>"50～59歳(n = "&amp;B23&amp;" )　　"</f>
        <v>50～59歳(n = 139 )　　</v>
      </c>
      <c r="B23" s="34">
        <v>139</v>
      </c>
      <c r="C23" s="28">
        <v>17</v>
      </c>
      <c r="D23" s="29">
        <v>31</v>
      </c>
      <c r="E23" s="29">
        <v>5</v>
      </c>
      <c r="F23" s="29">
        <v>57</v>
      </c>
      <c r="G23" s="29">
        <v>24</v>
      </c>
      <c r="H23" s="29">
        <v>5</v>
      </c>
      <c r="I23" s="30">
        <v>0</v>
      </c>
      <c r="J23">
        <f>'問9S（表）'!E44+'問9S（表）'!F44</f>
        <v>139</v>
      </c>
    </row>
    <row r="24" spans="1:18" x14ac:dyDescent="0.2">
      <c r="A24" s="274"/>
      <c r="B24" s="35">
        <f>B23/$B$13*100</f>
        <v>20.321637426900587</v>
      </c>
      <c r="C24" s="20">
        <f t="shared" ref="C24:I24" si="22">C23/$B$23*100</f>
        <v>12.23021582733813</v>
      </c>
      <c r="D24" s="207">
        <f t="shared" si="22"/>
        <v>22.302158273381295</v>
      </c>
      <c r="E24" s="207">
        <f t="shared" si="22"/>
        <v>3.5971223021582732</v>
      </c>
      <c r="F24" s="207">
        <f t="shared" si="22"/>
        <v>41.007194244604314</v>
      </c>
      <c r="G24" s="207">
        <f t="shared" si="22"/>
        <v>17.266187050359711</v>
      </c>
      <c r="H24" s="207">
        <f t="shared" si="22"/>
        <v>3.5971223021582732</v>
      </c>
      <c r="I24" s="208">
        <f t="shared" si="22"/>
        <v>0</v>
      </c>
    </row>
    <row r="25" spans="1:18" ht="13.5" customHeight="1" x14ac:dyDescent="0.2">
      <c r="A25" s="273" t="str">
        <f>"60～69歳(n = "&amp;B25&amp;" )　　"</f>
        <v>60～69歳(n = 148 )　　</v>
      </c>
      <c r="B25" s="34">
        <v>148</v>
      </c>
      <c r="C25" s="28">
        <v>10</v>
      </c>
      <c r="D25" s="29">
        <v>32</v>
      </c>
      <c r="E25" s="29">
        <v>9</v>
      </c>
      <c r="F25" s="29">
        <v>69</v>
      </c>
      <c r="G25" s="29">
        <v>24</v>
      </c>
      <c r="H25" s="29">
        <v>4</v>
      </c>
      <c r="I25" s="30">
        <v>0</v>
      </c>
      <c r="J25">
        <f>'問9S（表）'!E46+'問9S（表）'!F46</f>
        <v>148</v>
      </c>
    </row>
    <row r="26" spans="1:18" x14ac:dyDescent="0.2">
      <c r="A26" s="274"/>
      <c r="B26" s="35">
        <f>B25/$B$13*100</f>
        <v>21.637426900584796</v>
      </c>
      <c r="C26" s="20">
        <f t="shared" ref="C26:I26" si="23">C25/$B$25*100</f>
        <v>6.756756756756757</v>
      </c>
      <c r="D26" s="207">
        <f t="shared" si="23"/>
        <v>21.621621621621621</v>
      </c>
      <c r="E26" s="207">
        <f t="shared" si="23"/>
        <v>6.0810810810810816</v>
      </c>
      <c r="F26" s="207">
        <f t="shared" si="23"/>
        <v>46.621621621621621</v>
      </c>
      <c r="G26" s="207">
        <f t="shared" si="23"/>
        <v>16.216216216216218</v>
      </c>
      <c r="H26" s="207">
        <f t="shared" si="23"/>
        <v>2.7027027027027026</v>
      </c>
      <c r="I26" s="208">
        <f t="shared" si="23"/>
        <v>0</v>
      </c>
    </row>
    <row r="27" spans="1:18" ht="13.5" customHeight="1" x14ac:dyDescent="0.2">
      <c r="A27" s="273" t="str">
        <f>"70歳以上(n = "&amp;B27&amp;" )　　"</f>
        <v>70歳以上(n = 109 )　　</v>
      </c>
      <c r="B27" s="34">
        <v>109</v>
      </c>
      <c r="C27" s="28">
        <v>6</v>
      </c>
      <c r="D27" s="29">
        <v>28</v>
      </c>
      <c r="E27" s="29">
        <v>2</v>
      </c>
      <c r="F27" s="29">
        <v>56</v>
      </c>
      <c r="G27" s="29">
        <v>11</v>
      </c>
      <c r="H27" s="29">
        <v>5</v>
      </c>
      <c r="I27" s="30">
        <v>1</v>
      </c>
      <c r="J27">
        <f>'問9S（表）'!E48+'問9S（表）'!F48</f>
        <v>109</v>
      </c>
    </row>
    <row r="28" spans="1:18" x14ac:dyDescent="0.2">
      <c r="A28" s="274"/>
      <c r="B28" s="35">
        <f>B27/$B$13*100</f>
        <v>15.935672514619883</v>
      </c>
      <c r="C28" s="20">
        <f t="shared" ref="C28:I28" si="24">C27/$B$27*100</f>
        <v>5.5045871559633035</v>
      </c>
      <c r="D28" s="207">
        <f t="shared" si="24"/>
        <v>25.688073394495415</v>
      </c>
      <c r="E28" s="207">
        <f t="shared" si="24"/>
        <v>1.834862385321101</v>
      </c>
      <c r="F28" s="207">
        <f t="shared" si="24"/>
        <v>51.37614678899083</v>
      </c>
      <c r="G28" s="207">
        <f t="shared" si="24"/>
        <v>10.091743119266056</v>
      </c>
      <c r="H28" s="207">
        <f t="shared" si="24"/>
        <v>4.5871559633027523</v>
      </c>
      <c r="I28" s="208">
        <f t="shared" si="24"/>
        <v>0.91743119266055051</v>
      </c>
    </row>
    <row r="30" spans="1:18" ht="13.5" customHeight="1" x14ac:dyDescent="0.2">
      <c r="A30" s="3" t="s">
        <v>325</v>
      </c>
      <c r="B30" s="1" t="str">
        <f>B11</f>
        <v>県事業に関心がない理由</v>
      </c>
      <c r="C30" s="8"/>
      <c r="D30" s="8"/>
      <c r="E30" s="8"/>
      <c r="F30" s="8"/>
      <c r="G30" s="9" t="s">
        <v>1</v>
      </c>
      <c r="H30" s="9"/>
      <c r="I30" s="9" t="s">
        <v>1</v>
      </c>
    </row>
    <row r="31" spans="1:18" ht="67.5" customHeight="1" x14ac:dyDescent="0.2">
      <c r="A31" s="13" t="s">
        <v>27</v>
      </c>
      <c r="B31" s="59" t="str">
        <f>B12</f>
        <v>調査数</v>
      </c>
      <c r="C31" s="60" t="str">
        <f t="shared" ref="C31:I31" si="25">C12</f>
        <v>県の行政そのものに興味がないから</v>
      </c>
      <c r="D31" s="61" t="str">
        <f t="shared" si="25"/>
        <v>県がどのような仕事をしているのか知らないから</v>
      </c>
      <c r="E31" s="62" t="str">
        <f t="shared" si="25"/>
        <v>県の仕事は、自分に関係がないから</v>
      </c>
      <c r="F31" s="61" t="str">
        <f t="shared" si="25"/>
        <v>県の施設を利用したり、県の仕事に接する機会が少ないから</v>
      </c>
      <c r="G31" s="62" t="str">
        <f t="shared" si="25"/>
        <v>自分たちの意見が反映されるとは思えないから</v>
      </c>
      <c r="H31" s="62" t="str">
        <f t="shared" si="25"/>
        <v>その他</v>
      </c>
      <c r="I31" s="63" t="str">
        <f t="shared" si="25"/>
        <v>無回答</v>
      </c>
      <c r="J31" s="21" t="s">
        <v>32</v>
      </c>
      <c r="K31" s="12" t="str">
        <f>A31</f>
        <v>【居住圏域別】</v>
      </c>
      <c r="L31" s="60" t="str">
        <f t="shared" ref="L31:R31" si="26">C31</f>
        <v>県の行政そのものに興味がないから</v>
      </c>
      <c r="M31" s="61" t="str">
        <f t="shared" si="26"/>
        <v>県がどのような仕事をしているのか知らないから</v>
      </c>
      <c r="N31" s="62" t="str">
        <f t="shared" si="26"/>
        <v>県の仕事は、自分に関係がないから</v>
      </c>
      <c r="O31" s="61" t="str">
        <f t="shared" si="26"/>
        <v>県の施設を利用したり、県の仕事に接する機会が少ないから</v>
      </c>
      <c r="P31" s="62" t="str">
        <f t="shared" si="26"/>
        <v>自分たちの意見が反映されるとは思えないから</v>
      </c>
      <c r="Q31" s="62" t="str">
        <f t="shared" si="26"/>
        <v>その他</v>
      </c>
      <c r="R31" s="63" t="str">
        <f t="shared" si="26"/>
        <v>無回答</v>
      </c>
    </row>
    <row r="32" spans="1:18" ht="13.5" customHeight="1" x14ac:dyDescent="0.2">
      <c r="A32" s="275" t="str">
        <f>A13</f>
        <v>全体(n = 684 )　　</v>
      </c>
      <c r="B32" s="34">
        <v>684</v>
      </c>
      <c r="C32" s="31">
        <f>$C$3</f>
        <v>76</v>
      </c>
      <c r="D32" s="32">
        <f>$D$3</f>
        <v>166</v>
      </c>
      <c r="E32" s="32">
        <f>$E$3</f>
        <v>22</v>
      </c>
      <c r="F32" s="32">
        <f>$F$3</f>
        <v>284</v>
      </c>
      <c r="G32" s="32">
        <f>$G$3</f>
        <v>113</v>
      </c>
      <c r="H32" s="32">
        <f>$H$3</f>
        <v>22</v>
      </c>
      <c r="I32" s="33">
        <f>$I$3</f>
        <v>1</v>
      </c>
      <c r="K32" s="67" t="str">
        <f>A32</f>
        <v>全体(n = 684 )　　</v>
      </c>
      <c r="L32" s="70">
        <f t="shared" ref="L32:R32" si="27">C33</f>
        <v>11.111111111111111</v>
      </c>
      <c r="M32" s="71">
        <f t="shared" si="27"/>
        <v>24.269005847953213</v>
      </c>
      <c r="N32" s="72">
        <f t="shared" si="27"/>
        <v>3.2163742690058479</v>
      </c>
      <c r="O32" s="71">
        <f t="shared" si="27"/>
        <v>41.520467836257311</v>
      </c>
      <c r="P32" s="72">
        <f t="shared" si="27"/>
        <v>16.520467836257311</v>
      </c>
      <c r="Q32" s="72">
        <f t="shared" si="27"/>
        <v>3.2163742690058479</v>
      </c>
      <c r="R32" s="73">
        <f t="shared" si="27"/>
        <v>0.14619883040935672</v>
      </c>
    </row>
    <row r="33" spans="1:21" ht="13.5" customHeight="1" x14ac:dyDescent="0.2">
      <c r="A33" s="276"/>
      <c r="B33" s="35">
        <v>100</v>
      </c>
      <c r="C33" s="20">
        <f t="shared" ref="C33:I33" si="28">C32/$B$32*100</f>
        <v>11.111111111111111</v>
      </c>
      <c r="D33" s="207">
        <f t="shared" si="28"/>
        <v>24.269005847953213</v>
      </c>
      <c r="E33" s="207">
        <f t="shared" si="28"/>
        <v>3.2163742690058479</v>
      </c>
      <c r="F33" s="207">
        <f t="shared" si="28"/>
        <v>41.520467836257311</v>
      </c>
      <c r="G33" s="207">
        <f t="shared" si="28"/>
        <v>16.520467836257311</v>
      </c>
      <c r="H33" s="207">
        <f t="shared" si="28"/>
        <v>3.2163742690058479</v>
      </c>
      <c r="I33" s="208">
        <f t="shared" si="28"/>
        <v>0.14619883040935672</v>
      </c>
      <c r="K33" s="82" t="str">
        <f>A34</f>
        <v>岐阜圏域(n = 245 )　　</v>
      </c>
      <c r="L33" s="84">
        <f t="shared" ref="L33:R33" si="29">C35</f>
        <v>10.204081632653061</v>
      </c>
      <c r="M33" s="85">
        <f t="shared" si="29"/>
        <v>20</v>
      </c>
      <c r="N33" s="86">
        <f t="shared" si="29"/>
        <v>2.4489795918367347</v>
      </c>
      <c r="O33" s="85">
        <f t="shared" si="29"/>
        <v>44.081632653061227</v>
      </c>
      <c r="P33" s="86">
        <f t="shared" si="29"/>
        <v>18.367346938775512</v>
      </c>
      <c r="Q33" s="86">
        <f t="shared" si="29"/>
        <v>4.8979591836734695</v>
      </c>
      <c r="R33" s="87">
        <f t="shared" si="29"/>
        <v>0</v>
      </c>
    </row>
    <row r="34" spans="1:21" ht="13.5" customHeight="1" x14ac:dyDescent="0.2">
      <c r="A34" s="273" t="str">
        <f>"岐阜圏域(n = "&amp;B34&amp;" )　　"</f>
        <v>岐阜圏域(n = 245 )　　</v>
      </c>
      <c r="B34" s="34">
        <v>245</v>
      </c>
      <c r="C34" s="28">
        <v>25</v>
      </c>
      <c r="D34" s="29">
        <v>49</v>
      </c>
      <c r="E34" s="29">
        <v>6</v>
      </c>
      <c r="F34" s="29">
        <v>108</v>
      </c>
      <c r="G34" s="29">
        <v>45</v>
      </c>
      <c r="H34" s="29">
        <v>12</v>
      </c>
      <c r="I34" s="30">
        <v>0</v>
      </c>
      <c r="J34">
        <f>'問9S（表）'!E55+'問9S（表）'!F55</f>
        <v>245</v>
      </c>
      <c r="K34" s="83" t="str">
        <f>A36</f>
        <v>西濃圏域(n = 114 )　　</v>
      </c>
      <c r="L34" s="88">
        <f t="shared" ref="L34:R34" si="30">C37</f>
        <v>7.0175438596491224</v>
      </c>
      <c r="M34" s="89">
        <f t="shared" si="30"/>
        <v>32.456140350877192</v>
      </c>
      <c r="N34" s="90">
        <f t="shared" si="30"/>
        <v>3.5087719298245612</v>
      </c>
      <c r="O34" s="89">
        <f t="shared" si="30"/>
        <v>37.719298245614034</v>
      </c>
      <c r="P34" s="90">
        <f t="shared" si="30"/>
        <v>17.543859649122805</v>
      </c>
      <c r="Q34" s="90">
        <f t="shared" si="30"/>
        <v>1.7543859649122806</v>
      </c>
      <c r="R34" s="91">
        <f t="shared" si="30"/>
        <v>0</v>
      </c>
    </row>
    <row r="35" spans="1:21" ht="13.5" customHeight="1" x14ac:dyDescent="0.2">
      <c r="A35" s="274"/>
      <c r="B35" s="35">
        <f>B34/$B$32*100</f>
        <v>35.8187134502924</v>
      </c>
      <c r="C35" s="20">
        <f t="shared" ref="C35:I35" si="31">C34/$B$34*100</f>
        <v>10.204081632653061</v>
      </c>
      <c r="D35" s="207">
        <f t="shared" si="31"/>
        <v>20</v>
      </c>
      <c r="E35" s="207">
        <f t="shared" si="31"/>
        <v>2.4489795918367347</v>
      </c>
      <c r="F35" s="207">
        <f t="shared" si="31"/>
        <v>44.081632653061227</v>
      </c>
      <c r="G35" s="207">
        <f t="shared" si="31"/>
        <v>18.367346938775512</v>
      </c>
      <c r="H35" s="207">
        <f t="shared" si="31"/>
        <v>4.8979591836734695</v>
      </c>
      <c r="I35" s="208">
        <f t="shared" si="31"/>
        <v>0</v>
      </c>
      <c r="K35" s="83" t="str">
        <f>A38</f>
        <v>中濃圏域(n = 138 )　　</v>
      </c>
      <c r="L35" s="88">
        <f t="shared" ref="L35:R35" si="32">C39</f>
        <v>11.594202898550725</v>
      </c>
      <c r="M35" s="89">
        <f t="shared" si="32"/>
        <v>28.985507246376812</v>
      </c>
      <c r="N35" s="90">
        <f t="shared" si="32"/>
        <v>3.6231884057971016</v>
      </c>
      <c r="O35" s="89">
        <f t="shared" si="32"/>
        <v>39.855072463768117</v>
      </c>
      <c r="P35" s="90">
        <f t="shared" si="32"/>
        <v>14.492753623188406</v>
      </c>
      <c r="Q35" s="90">
        <f t="shared" si="32"/>
        <v>1.4492753623188406</v>
      </c>
      <c r="R35" s="91">
        <f t="shared" si="32"/>
        <v>0</v>
      </c>
    </row>
    <row r="36" spans="1:21" ht="13.5" customHeight="1" x14ac:dyDescent="0.2">
      <c r="A36" s="273" t="str">
        <f>"西濃圏域(n = "&amp;B36&amp;" )　　"</f>
        <v>西濃圏域(n = 114 )　　</v>
      </c>
      <c r="B36" s="34">
        <v>114</v>
      </c>
      <c r="C36" s="28">
        <v>8</v>
      </c>
      <c r="D36" s="29">
        <v>37</v>
      </c>
      <c r="E36" s="29">
        <v>4</v>
      </c>
      <c r="F36" s="29">
        <v>43</v>
      </c>
      <c r="G36" s="29">
        <v>20</v>
      </c>
      <c r="H36" s="29">
        <v>2</v>
      </c>
      <c r="I36" s="30">
        <v>0</v>
      </c>
      <c r="J36">
        <f>'問9S（表）'!E57+'問9S（表）'!F57</f>
        <v>114</v>
      </c>
      <c r="K36" s="83" t="str">
        <f>A40</f>
        <v>東濃圏域(n = 122 )　　</v>
      </c>
      <c r="L36" s="88">
        <f t="shared" ref="L36:R36" si="33">C41</f>
        <v>14.754098360655737</v>
      </c>
      <c r="M36" s="89">
        <f t="shared" si="33"/>
        <v>25.409836065573771</v>
      </c>
      <c r="N36" s="90">
        <f t="shared" si="33"/>
        <v>3.278688524590164</v>
      </c>
      <c r="O36" s="89">
        <f t="shared" si="33"/>
        <v>39.344262295081968</v>
      </c>
      <c r="P36" s="90">
        <f t="shared" si="33"/>
        <v>14.754098360655737</v>
      </c>
      <c r="Q36" s="90">
        <f t="shared" si="33"/>
        <v>1.639344262295082</v>
      </c>
      <c r="R36" s="91">
        <f t="shared" si="33"/>
        <v>0.81967213114754101</v>
      </c>
    </row>
    <row r="37" spans="1:21" ht="13.5" customHeight="1" x14ac:dyDescent="0.2">
      <c r="A37" s="274"/>
      <c r="B37" s="35">
        <f>B36/$B$32*100</f>
        <v>16.666666666666664</v>
      </c>
      <c r="C37" s="20">
        <f t="shared" ref="C37:I37" si="34">C36/$B$36*100</f>
        <v>7.0175438596491224</v>
      </c>
      <c r="D37" s="207">
        <f t="shared" si="34"/>
        <v>32.456140350877192</v>
      </c>
      <c r="E37" s="207">
        <f t="shared" si="34"/>
        <v>3.5087719298245612</v>
      </c>
      <c r="F37" s="207">
        <f t="shared" si="34"/>
        <v>37.719298245614034</v>
      </c>
      <c r="G37" s="207">
        <f t="shared" si="34"/>
        <v>17.543859649122805</v>
      </c>
      <c r="H37" s="207">
        <f t="shared" si="34"/>
        <v>1.7543859649122806</v>
      </c>
      <c r="I37" s="208">
        <f t="shared" si="34"/>
        <v>0</v>
      </c>
      <c r="K37" s="69" t="str">
        <f>A42</f>
        <v>飛騨圏域(n = 52 )　　</v>
      </c>
      <c r="L37" s="78">
        <f t="shared" ref="L37:R37" si="35">C43</f>
        <v>13.461538461538462</v>
      </c>
      <c r="M37" s="79">
        <f t="shared" si="35"/>
        <v>13.461538461538462</v>
      </c>
      <c r="N37" s="80">
        <f t="shared" si="35"/>
        <v>3.8461538461538463</v>
      </c>
      <c r="O37" s="79">
        <f t="shared" si="35"/>
        <v>50</v>
      </c>
      <c r="P37" s="80">
        <f t="shared" si="35"/>
        <v>11.538461538461538</v>
      </c>
      <c r="Q37" s="80">
        <f t="shared" si="35"/>
        <v>7.6923076923076925</v>
      </c>
      <c r="R37" s="81">
        <f t="shared" si="35"/>
        <v>0</v>
      </c>
    </row>
    <row r="38" spans="1:21" ht="13.5" customHeight="1" x14ac:dyDescent="0.2">
      <c r="A38" s="273" t="str">
        <f>"中濃圏域(n = "&amp;B38&amp;" )　　"</f>
        <v>中濃圏域(n = 138 )　　</v>
      </c>
      <c r="B38" s="34">
        <v>138</v>
      </c>
      <c r="C38" s="28">
        <v>16</v>
      </c>
      <c r="D38" s="29">
        <v>40</v>
      </c>
      <c r="E38" s="29">
        <v>5</v>
      </c>
      <c r="F38" s="29">
        <v>55</v>
      </c>
      <c r="G38" s="29">
        <v>20</v>
      </c>
      <c r="H38" s="29">
        <v>2</v>
      </c>
      <c r="I38" s="30">
        <v>0</v>
      </c>
      <c r="J38">
        <f>'問9S（表）'!E59+'問9S（表）'!F59</f>
        <v>138</v>
      </c>
    </row>
    <row r="39" spans="1:21" x14ac:dyDescent="0.2">
      <c r="A39" s="274"/>
      <c r="B39" s="35">
        <f>B38/$B$32*100</f>
        <v>20.175438596491226</v>
      </c>
      <c r="C39" s="20">
        <f t="shared" ref="C39:I39" si="36">C38/$B$38*100</f>
        <v>11.594202898550725</v>
      </c>
      <c r="D39" s="207">
        <f t="shared" si="36"/>
        <v>28.985507246376812</v>
      </c>
      <c r="E39" s="207">
        <f t="shared" si="36"/>
        <v>3.6231884057971016</v>
      </c>
      <c r="F39" s="207">
        <f t="shared" si="36"/>
        <v>39.855072463768117</v>
      </c>
      <c r="G39" s="207">
        <f t="shared" si="36"/>
        <v>14.492753623188406</v>
      </c>
      <c r="H39" s="207">
        <f t="shared" si="36"/>
        <v>1.4492753623188406</v>
      </c>
      <c r="I39" s="208">
        <f t="shared" si="36"/>
        <v>0</v>
      </c>
    </row>
    <row r="40" spans="1:21" ht="13.5" customHeight="1" x14ac:dyDescent="0.2">
      <c r="A40" s="273" t="str">
        <f>"東濃圏域(n = "&amp;B40&amp;" )　　"</f>
        <v>東濃圏域(n = 122 )　　</v>
      </c>
      <c r="B40" s="34">
        <v>122</v>
      </c>
      <c r="C40" s="28">
        <v>18</v>
      </c>
      <c r="D40" s="29">
        <v>31</v>
      </c>
      <c r="E40" s="29">
        <v>4</v>
      </c>
      <c r="F40" s="29">
        <v>48</v>
      </c>
      <c r="G40" s="29">
        <v>18</v>
      </c>
      <c r="H40" s="29">
        <v>2</v>
      </c>
      <c r="I40" s="30">
        <v>1</v>
      </c>
      <c r="J40">
        <f>'問9S（表）'!E61+'問9S（表）'!F61</f>
        <v>122</v>
      </c>
    </row>
    <row r="41" spans="1:21" x14ac:dyDescent="0.2">
      <c r="A41" s="274"/>
      <c r="B41" s="35">
        <f>B40/$B$32*100</f>
        <v>17.836257309941519</v>
      </c>
      <c r="C41" s="20">
        <f t="shared" ref="C41:I41" si="37">C40/$B$40*100</f>
        <v>14.754098360655737</v>
      </c>
      <c r="D41" s="207">
        <f t="shared" si="37"/>
        <v>25.409836065573771</v>
      </c>
      <c r="E41" s="207">
        <f t="shared" si="37"/>
        <v>3.278688524590164</v>
      </c>
      <c r="F41" s="207">
        <f t="shared" si="37"/>
        <v>39.344262295081968</v>
      </c>
      <c r="G41" s="207">
        <f t="shared" si="37"/>
        <v>14.754098360655737</v>
      </c>
      <c r="H41" s="207">
        <f t="shared" si="37"/>
        <v>1.639344262295082</v>
      </c>
      <c r="I41" s="208">
        <f t="shared" si="37"/>
        <v>0.81967213114754101</v>
      </c>
    </row>
    <row r="42" spans="1:21" ht="13.5" customHeight="1" x14ac:dyDescent="0.2">
      <c r="A42" s="273" t="str">
        <f>"飛騨圏域(n = "&amp;B42&amp;" )　　"</f>
        <v>飛騨圏域(n = 52 )　　</v>
      </c>
      <c r="B42" s="34">
        <v>52</v>
      </c>
      <c r="C42" s="28">
        <v>7</v>
      </c>
      <c r="D42" s="29">
        <v>7</v>
      </c>
      <c r="E42" s="29">
        <v>2</v>
      </c>
      <c r="F42" s="29">
        <v>26</v>
      </c>
      <c r="G42" s="29">
        <v>6</v>
      </c>
      <c r="H42" s="29">
        <v>4</v>
      </c>
      <c r="I42" s="30">
        <v>0</v>
      </c>
      <c r="J42">
        <f>'問9S（表）'!E63+'問9S（表）'!F63</f>
        <v>52</v>
      </c>
    </row>
    <row r="43" spans="1:21" x14ac:dyDescent="0.2">
      <c r="A43" s="274"/>
      <c r="B43" s="35">
        <f>B42/$B$32*100</f>
        <v>7.6023391812865491</v>
      </c>
      <c r="C43" s="20">
        <f t="shared" ref="C43:I43" si="38">C42/$B$42*100</f>
        <v>13.461538461538462</v>
      </c>
      <c r="D43" s="207">
        <f t="shared" si="38"/>
        <v>13.461538461538462</v>
      </c>
      <c r="E43" s="207">
        <f t="shared" si="38"/>
        <v>3.8461538461538463</v>
      </c>
      <c r="F43" s="207">
        <f t="shared" si="38"/>
        <v>50</v>
      </c>
      <c r="G43" s="207">
        <f t="shared" si="38"/>
        <v>11.538461538461538</v>
      </c>
      <c r="H43" s="207">
        <f t="shared" si="38"/>
        <v>7.6923076923076925</v>
      </c>
      <c r="I43" s="208">
        <f t="shared" si="38"/>
        <v>0</v>
      </c>
    </row>
    <row r="45" spans="1:21" x14ac:dyDescent="0.2">
      <c r="A45" s="3" t="s">
        <v>324</v>
      </c>
      <c r="B45" s="1" t="str">
        <f>B1</f>
        <v>県事業に関心がない理由</v>
      </c>
      <c r="C45" s="8"/>
      <c r="D45" s="8"/>
      <c r="E45" s="8"/>
      <c r="F45" s="8"/>
      <c r="G45" s="9" t="s">
        <v>1</v>
      </c>
      <c r="H45" s="9"/>
      <c r="I45" s="8"/>
      <c r="J45" s="23"/>
      <c r="K45" s="8"/>
      <c r="L45" s="8"/>
      <c r="M45" s="8"/>
      <c r="N45" s="8"/>
      <c r="O45" s="8"/>
      <c r="P45" s="8"/>
      <c r="S45" s="50"/>
    </row>
    <row r="46" spans="1:21" ht="75.599999999999994" x14ac:dyDescent="0.15">
      <c r="A46" s="12" t="s">
        <v>29</v>
      </c>
      <c r="B46" s="14" t="str">
        <f>B2</f>
        <v>調査数</v>
      </c>
      <c r="C46" s="15" t="str">
        <f t="shared" ref="C46:I46" si="39">C2</f>
        <v>県の行政そのものに興味がないから</v>
      </c>
      <c r="D46" s="16" t="str">
        <f t="shared" si="39"/>
        <v>県がどのような仕事をしているのか知らないから</v>
      </c>
      <c r="E46" s="17" t="str">
        <f t="shared" si="39"/>
        <v>県の仕事は、自分に関係がないから</v>
      </c>
      <c r="F46" s="16" t="str">
        <f t="shared" si="39"/>
        <v>県の施設を利用したり、県の仕事に接する機会が少ないから</v>
      </c>
      <c r="G46" s="17" t="str">
        <f t="shared" si="39"/>
        <v>自分たちの意見が反映されるとは思えないから</v>
      </c>
      <c r="H46" s="17" t="str">
        <f t="shared" si="39"/>
        <v>その他</v>
      </c>
      <c r="I46" s="18" t="str">
        <f t="shared" si="39"/>
        <v>無回答</v>
      </c>
      <c r="J46" s="234" t="s">
        <v>323</v>
      </c>
      <c r="K46" s="12" t="str">
        <f t="shared" ref="K46:S47" si="40">A46</f>
        <v>【職業別】</v>
      </c>
      <c r="L46" s="59" t="str">
        <f t="shared" si="40"/>
        <v>調査数</v>
      </c>
      <c r="M46" s="60" t="str">
        <f t="shared" si="40"/>
        <v>県の行政そのものに興味がないから</v>
      </c>
      <c r="N46" s="61" t="str">
        <f t="shared" si="40"/>
        <v>県がどのような仕事をしているのか知らないから</v>
      </c>
      <c r="O46" s="62" t="str">
        <f t="shared" si="40"/>
        <v>県の仕事は、自分に関係がないから</v>
      </c>
      <c r="P46" s="61" t="str">
        <f t="shared" si="40"/>
        <v>県の施設を利用したり、県の仕事に接する機会が少ないから</v>
      </c>
      <c r="Q46" s="62" t="str">
        <f t="shared" si="40"/>
        <v>自分たちの意見が反映されるとは思えないから</v>
      </c>
      <c r="R46" s="63" t="str">
        <f t="shared" si="40"/>
        <v>その他</v>
      </c>
      <c r="S46" s="63" t="str">
        <f t="shared" si="40"/>
        <v>無回答</v>
      </c>
      <c r="U46" s="50"/>
    </row>
    <row r="47" spans="1:21" ht="13.5" customHeight="1" x14ac:dyDescent="0.2">
      <c r="A47" s="269" t="str">
        <f>A32</f>
        <v>全体(n = 684 )　　</v>
      </c>
      <c r="B47" s="34">
        <v>684</v>
      </c>
      <c r="C47" s="31">
        <f>$C$3</f>
        <v>76</v>
      </c>
      <c r="D47" s="32">
        <f>$D$3</f>
        <v>166</v>
      </c>
      <c r="E47" s="32">
        <f>$E$3</f>
        <v>22</v>
      </c>
      <c r="F47" s="32">
        <f>$F$3</f>
        <v>284</v>
      </c>
      <c r="G47" s="32">
        <f>$G$3</f>
        <v>113</v>
      </c>
      <c r="H47" s="32">
        <f>$H$3</f>
        <v>22</v>
      </c>
      <c r="I47" s="33">
        <f>$I$3</f>
        <v>1</v>
      </c>
      <c r="J47" s="210" t="s">
        <v>254</v>
      </c>
      <c r="K47" s="269" t="str">
        <f t="shared" si="40"/>
        <v>全体(n = 684 )　　</v>
      </c>
      <c r="L47" s="113">
        <f t="shared" si="40"/>
        <v>684</v>
      </c>
      <c r="M47" s="121">
        <f t="shared" si="40"/>
        <v>76</v>
      </c>
      <c r="N47" s="122">
        <f t="shared" si="40"/>
        <v>166</v>
      </c>
      <c r="O47" s="123">
        <f t="shared" si="40"/>
        <v>22</v>
      </c>
      <c r="P47" s="122">
        <f t="shared" si="40"/>
        <v>284</v>
      </c>
      <c r="Q47" s="123">
        <f t="shared" si="40"/>
        <v>113</v>
      </c>
      <c r="R47" s="124">
        <f t="shared" si="40"/>
        <v>22</v>
      </c>
      <c r="S47" s="124">
        <f t="shared" si="40"/>
        <v>1</v>
      </c>
      <c r="U47" s="50"/>
    </row>
    <row r="48" spans="1:21" x14ac:dyDescent="0.2">
      <c r="A48" s="270"/>
      <c r="B48" s="35">
        <v>100</v>
      </c>
      <c r="C48" s="20">
        <f t="shared" ref="C48:I48" si="41">C47/$B$47*100</f>
        <v>11.111111111111111</v>
      </c>
      <c r="D48" s="207">
        <f t="shared" si="41"/>
        <v>24.269005847953213</v>
      </c>
      <c r="E48" s="207">
        <f t="shared" si="41"/>
        <v>3.2163742690058479</v>
      </c>
      <c r="F48" s="207">
        <f t="shared" si="41"/>
        <v>41.520467836257311</v>
      </c>
      <c r="G48" s="207">
        <f t="shared" si="41"/>
        <v>16.520467836257311</v>
      </c>
      <c r="H48" s="207">
        <f t="shared" si="41"/>
        <v>3.2163742690058479</v>
      </c>
      <c r="I48" s="208">
        <f t="shared" si="41"/>
        <v>0.14619883040935672</v>
      </c>
      <c r="J48" s="23" t="s">
        <v>30</v>
      </c>
      <c r="K48" s="270"/>
      <c r="L48" s="114">
        <f t="shared" ref="L48:S50" si="42">B48</f>
        <v>100</v>
      </c>
      <c r="M48" s="125">
        <f t="shared" si="42"/>
        <v>11.111111111111111</v>
      </c>
      <c r="N48" s="126">
        <f t="shared" si="42"/>
        <v>24.269005847953213</v>
      </c>
      <c r="O48" s="127">
        <f t="shared" si="42"/>
        <v>3.2163742690058479</v>
      </c>
      <c r="P48" s="126">
        <f t="shared" si="42"/>
        <v>41.520467836257311</v>
      </c>
      <c r="Q48" s="127">
        <f t="shared" si="42"/>
        <v>16.520467836257311</v>
      </c>
      <c r="R48" s="128">
        <f t="shared" si="42"/>
        <v>3.2163742690058479</v>
      </c>
      <c r="S48" s="128">
        <f t="shared" si="42"/>
        <v>0.14619883040935672</v>
      </c>
      <c r="U48" s="50"/>
    </row>
    <row r="49" spans="1:21" ht="13.5" customHeight="1" x14ac:dyDescent="0.2">
      <c r="A49" s="259" t="str">
        <f>"自営業(n = "&amp;B49&amp;" )　　"</f>
        <v>自営業(n = 66 )　　</v>
      </c>
      <c r="B49" s="34">
        <f>'問9S（表）'!E70+'問9S（表）'!F70</f>
        <v>66</v>
      </c>
      <c r="C49" s="28">
        <v>6</v>
      </c>
      <c r="D49" s="29">
        <v>13</v>
      </c>
      <c r="E49" s="29">
        <v>2</v>
      </c>
      <c r="F49" s="29">
        <v>27</v>
      </c>
      <c r="G49" s="29">
        <v>16</v>
      </c>
      <c r="H49" s="29">
        <v>2</v>
      </c>
      <c r="I49" s="30">
        <v>0</v>
      </c>
      <c r="J49" s="233">
        <v>1</v>
      </c>
      <c r="K49" s="269" t="str">
        <f>A49</f>
        <v>自営業(n = 66 )　　</v>
      </c>
      <c r="L49" s="113">
        <f t="shared" si="42"/>
        <v>66</v>
      </c>
      <c r="M49" s="121">
        <f t="shared" si="42"/>
        <v>6</v>
      </c>
      <c r="N49" s="122">
        <f t="shared" si="42"/>
        <v>13</v>
      </c>
      <c r="O49" s="123">
        <f t="shared" si="42"/>
        <v>2</v>
      </c>
      <c r="P49" s="122">
        <f t="shared" si="42"/>
        <v>27</v>
      </c>
      <c r="Q49" s="123">
        <f t="shared" si="42"/>
        <v>16</v>
      </c>
      <c r="R49" s="124">
        <f t="shared" si="42"/>
        <v>2</v>
      </c>
      <c r="S49" s="124">
        <f t="shared" si="42"/>
        <v>0</v>
      </c>
      <c r="U49" s="50"/>
    </row>
    <row r="50" spans="1:21" x14ac:dyDescent="0.2">
      <c r="A50" s="260"/>
      <c r="B50" s="35">
        <f>B49/$B$47*100</f>
        <v>9.6491228070175428</v>
      </c>
      <c r="C50" s="20">
        <f t="shared" ref="C50:I50" si="43">C49/$B$49*100</f>
        <v>9.0909090909090917</v>
      </c>
      <c r="D50" s="207">
        <f t="shared" si="43"/>
        <v>19.696969696969695</v>
      </c>
      <c r="E50" s="207">
        <f t="shared" si="43"/>
        <v>3.0303030303030303</v>
      </c>
      <c r="F50" s="207">
        <f t="shared" si="43"/>
        <v>40.909090909090914</v>
      </c>
      <c r="G50" s="207">
        <f t="shared" si="43"/>
        <v>24.242424242424242</v>
      </c>
      <c r="H50" s="207">
        <f t="shared" si="43"/>
        <v>3.0303030303030303</v>
      </c>
      <c r="I50" s="208">
        <f t="shared" si="43"/>
        <v>0</v>
      </c>
      <c r="J50" s="23"/>
      <c r="K50" s="270"/>
      <c r="L50" s="114">
        <f t="shared" si="42"/>
        <v>9.6491228070175428</v>
      </c>
      <c r="M50" s="125">
        <f t="shared" si="42"/>
        <v>9.0909090909090917</v>
      </c>
      <c r="N50" s="126">
        <f t="shared" si="42"/>
        <v>19.696969696969695</v>
      </c>
      <c r="O50" s="127">
        <f t="shared" si="42"/>
        <v>3.0303030303030303</v>
      </c>
      <c r="P50" s="126">
        <f t="shared" si="42"/>
        <v>40.909090909090914</v>
      </c>
      <c r="Q50" s="127">
        <f t="shared" si="42"/>
        <v>24.242424242424242</v>
      </c>
      <c r="R50" s="128">
        <f t="shared" si="42"/>
        <v>3.0303030303030303</v>
      </c>
      <c r="S50" s="128">
        <f t="shared" si="42"/>
        <v>0</v>
      </c>
      <c r="U50" s="50"/>
    </row>
    <row r="51" spans="1:21" ht="13.5" customHeight="1" x14ac:dyDescent="0.2">
      <c r="A51" s="259" t="str">
        <f>"自由業(※1)(n = "&amp;B51&amp;" )　　"</f>
        <v>自由業(※1)(n = 5 )　　</v>
      </c>
      <c r="B51" s="34">
        <f>'問9S（表）'!E72+'問9S（表）'!F72</f>
        <v>5</v>
      </c>
      <c r="C51" s="28">
        <v>0</v>
      </c>
      <c r="D51" s="29">
        <v>0</v>
      </c>
      <c r="E51" s="29">
        <v>1</v>
      </c>
      <c r="F51" s="29">
        <v>3</v>
      </c>
      <c r="G51" s="29">
        <v>1</v>
      </c>
      <c r="H51" s="29">
        <v>0</v>
      </c>
      <c r="I51" s="30">
        <v>0</v>
      </c>
      <c r="J51" s="233">
        <v>2</v>
      </c>
      <c r="K51" s="269" t="str">
        <f t="shared" ref="K51:S51" si="44">A53</f>
        <v>会社・団体役員(n = 78 )　　</v>
      </c>
      <c r="L51" s="113">
        <f t="shared" si="44"/>
        <v>78</v>
      </c>
      <c r="M51" s="121">
        <f t="shared" si="44"/>
        <v>13</v>
      </c>
      <c r="N51" s="122">
        <f t="shared" si="44"/>
        <v>26</v>
      </c>
      <c r="O51" s="123">
        <f t="shared" si="44"/>
        <v>2</v>
      </c>
      <c r="P51" s="122">
        <f t="shared" si="44"/>
        <v>24</v>
      </c>
      <c r="Q51" s="123">
        <f t="shared" si="44"/>
        <v>11</v>
      </c>
      <c r="R51" s="124">
        <f t="shared" si="44"/>
        <v>2</v>
      </c>
      <c r="S51" s="124">
        <f t="shared" si="44"/>
        <v>0</v>
      </c>
      <c r="U51" s="50"/>
    </row>
    <row r="52" spans="1:21" x14ac:dyDescent="0.2">
      <c r="A52" s="260"/>
      <c r="B52" s="35">
        <f>B51/$B$47*100</f>
        <v>0.73099415204678353</v>
      </c>
      <c r="C52" s="20">
        <f t="shared" ref="C52:I52" si="45">C51/$B$51*100</f>
        <v>0</v>
      </c>
      <c r="D52" s="207">
        <f t="shared" si="45"/>
        <v>0</v>
      </c>
      <c r="E52" s="207">
        <f t="shared" si="45"/>
        <v>20</v>
      </c>
      <c r="F52" s="207">
        <f t="shared" si="45"/>
        <v>60</v>
      </c>
      <c r="G52" s="207">
        <f t="shared" si="45"/>
        <v>20</v>
      </c>
      <c r="H52" s="207">
        <f t="shared" si="45"/>
        <v>0</v>
      </c>
      <c r="I52" s="208">
        <f t="shared" si="45"/>
        <v>0</v>
      </c>
      <c r="J52" s="19"/>
      <c r="K52" s="270"/>
      <c r="L52" s="114">
        <f t="shared" ref="L52:S56" si="46">B54</f>
        <v>11.403508771929824</v>
      </c>
      <c r="M52" s="125">
        <f t="shared" si="46"/>
        <v>16.666666666666664</v>
      </c>
      <c r="N52" s="126">
        <f t="shared" si="46"/>
        <v>33.333333333333329</v>
      </c>
      <c r="O52" s="127">
        <f t="shared" si="46"/>
        <v>2.5641025641025639</v>
      </c>
      <c r="P52" s="126">
        <f t="shared" si="46"/>
        <v>30.76923076923077</v>
      </c>
      <c r="Q52" s="127">
        <f t="shared" si="46"/>
        <v>14.102564102564102</v>
      </c>
      <c r="R52" s="128">
        <f t="shared" si="46"/>
        <v>2.5641025641025639</v>
      </c>
      <c r="S52" s="128">
        <f t="shared" si="46"/>
        <v>0</v>
      </c>
      <c r="U52" s="50"/>
    </row>
    <row r="53" spans="1:21" ht="13.5" customHeight="1" x14ac:dyDescent="0.2">
      <c r="A53" s="259" t="str">
        <f>"会社・団体役員(n = "&amp;B53&amp;" )　　"</f>
        <v>会社・団体役員(n = 78 )　　</v>
      </c>
      <c r="B53" s="34">
        <f>'問9S（表）'!E74+'問9S（表）'!F74</f>
        <v>78</v>
      </c>
      <c r="C53" s="28">
        <v>13</v>
      </c>
      <c r="D53" s="29">
        <v>26</v>
      </c>
      <c r="E53" s="29">
        <v>2</v>
      </c>
      <c r="F53" s="29">
        <v>24</v>
      </c>
      <c r="G53" s="29">
        <v>11</v>
      </c>
      <c r="H53" s="29">
        <v>2</v>
      </c>
      <c r="I53" s="30">
        <v>0</v>
      </c>
      <c r="J53" s="233">
        <v>3</v>
      </c>
      <c r="K53" s="271" t="str">
        <f>A55</f>
        <v>正規の従業員・職員(n = 200 )　　</v>
      </c>
      <c r="L53" s="113">
        <f t="shared" si="46"/>
        <v>200</v>
      </c>
      <c r="M53" s="121">
        <f t="shared" si="46"/>
        <v>22</v>
      </c>
      <c r="N53" s="122">
        <f t="shared" si="46"/>
        <v>43</v>
      </c>
      <c r="O53" s="123">
        <f t="shared" si="46"/>
        <v>4</v>
      </c>
      <c r="P53" s="122">
        <f t="shared" si="46"/>
        <v>87</v>
      </c>
      <c r="Q53" s="123">
        <f t="shared" si="46"/>
        <v>40</v>
      </c>
      <c r="R53" s="124">
        <f t="shared" si="46"/>
        <v>4</v>
      </c>
      <c r="S53" s="124">
        <f t="shared" si="46"/>
        <v>0</v>
      </c>
      <c r="U53" s="50"/>
    </row>
    <row r="54" spans="1:21" x14ac:dyDescent="0.2">
      <c r="A54" s="260"/>
      <c r="B54" s="35">
        <f>B53/$B$47*100</f>
        <v>11.403508771929824</v>
      </c>
      <c r="C54" s="20">
        <f t="shared" ref="C54:I54" si="47">C53/$B$53*100</f>
        <v>16.666666666666664</v>
      </c>
      <c r="D54" s="207">
        <f t="shared" si="47"/>
        <v>33.333333333333329</v>
      </c>
      <c r="E54" s="207">
        <f t="shared" si="47"/>
        <v>2.5641025641025639</v>
      </c>
      <c r="F54" s="207">
        <f t="shared" si="47"/>
        <v>30.76923076923077</v>
      </c>
      <c r="G54" s="207">
        <f t="shared" si="47"/>
        <v>14.102564102564102</v>
      </c>
      <c r="H54" s="207">
        <f t="shared" si="47"/>
        <v>2.5641025641025639</v>
      </c>
      <c r="I54" s="208">
        <f t="shared" si="47"/>
        <v>0</v>
      </c>
      <c r="J54" s="19"/>
      <c r="K54" s="272"/>
      <c r="L54" s="114">
        <f t="shared" si="46"/>
        <v>29.239766081871345</v>
      </c>
      <c r="M54" s="125">
        <f t="shared" si="46"/>
        <v>11</v>
      </c>
      <c r="N54" s="126">
        <f t="shared" si="46"/>
        <v>21.5</v>
      </c>
      <c r="O54" s="127">
        <f t="shared" si="46"/>
        <v>2</v>
      </c>
      <c r="P54" s="126">
        <f t="shared" si="46"/>
        <v>43.5</v>
      </c>
      <c r="Q54" s="127">
        <f t="shared" si="46"/>
        <v>20</v>
      </c>
      <c r="R54" s="128">
        <f t="shared" si="46"/>
        <v>2</v>
      </c>
      <c r="S54" s="128">
        <f t="shared" si="46"/>
        <v>0</v>
      </c>
      <c r="U54" s="50"/>
    </row>
    <row r="55" spans="1:21" ht="13.5" customHeight="1" x14ac:dyDescent="0.2">
      <c r="A55" s="263" t="str">
        <f>"正規の従業員・職員(n = "&amp;B55&amp;" )　　"</f>
        <v>正規の従業員・職員(n = 200 )　　</v>
      </c>
      <c r="B55" s="34">
        <f>'問9S（表）'!E76+'問9S（表）'!F76</f>
        <v>200</v>
      </c>
      <c r="C55" s="28">
        <v>22</v>
      </c>
      <c r="D55" s="29">
        <v>43</v>
      </c>
      <c r="E55" s="29">
        <v>4</v>
      </c>
      <c r="F55" s="29">
        <v>87</v>
      </c>
      <c r="G55" s="29">
        <v>40</v>
      </c>
      <c r="H55" s="29">
        <v>4</v>
      </c>
      <c r="I55" s="30">
        <v>0</v>
      </c>
      <c r="J55" s="233">
        <v>4</v>
      </c>
      <c r="K55" s="265" t="str">
        <f>A57</f>
        <v>パートタイム・アルバイト・派遣(n = 140 )　　</v>
      </c>
      <c r="L55" s="113">
        <f t="shared" si="46"/>
        <v>140</v>
      </c>
      <c r="M55" s="121">
        <f t="shared" si="46"/>
        <v>16</v>
      </c>
      <c r="N55" s="122">
        <f t="shared" si="46"/>
        <v>33</v>
      </c>
      <c r="O55" s="123">
        <f t="shared" si="46"/>
        <v>7</v>
      </c>
      <c r="P55" s="122">
        <f t="shared" si="46"/>
        <v>59</v>
      </c>
      <c r="Q55" s="123">
        <f t="shared" si="46"/>
        <v>19</v>
      </c>
      <c r="R55" s="124">
        <f t="shared" si="46"/>
        <v>6</v>
      </c>
      <c r="S55" s="124">
        <f t="shared" si="46"/>
        <v>0</v>
      </c>
      <c r="U55" s="50"/>
    </row>
    <row r="56" spans="1:21" x14ac:dyDescent="0.2">
      <c r="A56" s="264"/>
      <c r="B56" s="35">
        <f>B55/$B$47*100</f>
        <v>29.239766081871345</v>
      </c>
      <c r="C56" s="20">
        <f t="shared" ref="C56:I56" si="48">C55/$B$55*100</f>
        <v>11</v>
      </c>
      <c r="D56" s="207">
        <f t="shared" si="48"/>
        <v>21.5</v>
      </c>
      <c r="E56" s="207">
        <f t="shared" si="48"/>
        <v>2</v>
      </c>
      <c r="F56" s="207">
        <f t="shared" si="48"/>
        <v>43.5</v>
      </c>
      <c r="G56" s="207">
        <f t="shared" si="48"/>
        <v>20</v>
      </c>
      <c r="H56" s="207">
        <f t="shared" si="48"/>
        <v>2</v>
      </c>
      <c r="I56" s="208">
        <f t="shared" si="48"/>
        <v>0</v>
      </c>
      <c r="J56" s="19"/>
      <c r="K56" s="266"/>
      <c r="L56" s="114">
        <f t="shared" si="46"/>
        <v>20.467836257309941</v>
      </c>
      <c r="M56" s="125">
        <f t="shared" si="46"/>
        <v>11.428571428571429</v>
      </c>
      <c r="N56" s="126">
        <f t="shared" si="46"/>
        <v>23.571428571428569</v>
      </c>
      <c r="O56" s="127">
        <f t="shared" si="46"/>
        <v>5</v>
      </c>
      <c r="P56" s="126">
        <f t="shared" si="46"/>
        <v>42.142857142857146</v>
      </c>
      <c r="Q56" s="127">
        <f t="shared" si="46"/>
        <v>13.571428571428571</v>
      </c>
      <c r="R56" s="128">
        <f t="shared" si="46"/>
        <v>4.2857142857142856</v>
      </c>
      <c r="S56" s="128">
        <f t="shared" si="46"/>
        <v>0</v>
      </c>
      <c r="U56" s="50"/>
    </row>
    <row r="57" spans="1:21" ht="13.5" customHeight="1" x14ac:dyDescent="0.2">
      <c r="A57" s="267" t="str">
        <f>"パートタイム・アルバイト・派遣(n = "&amp;B57&amp;" )　　"</f>
        <v>パートタイム・アルバイト・派遣(n = 140 )　　</v>
      </c>
      <c r="B57" s="34">
        <f>'問9S（表）'!E78+'問9S（表）'!F78</f>
        <v>140</v>
      </c>
      <c r="C57" s="28">
        <v>16</v>
      </c>
      <c r="D57" s="29">
        <v>33</v>
      </c>
      <c r="E57" s="29">
        <v>7</v>
      </c>
      <c r="F57" s="29">
        <v>59</v>
      </c>
      <c r="G57" s="29">
        <v>19</v>
      </c>
      <c r="H57" s="29">
        <v>6</v>
      </c>
      <c r="I57" s="30">
        <v>0</v>
      </c>
      <c r="J57" s="233">
        <v>5</v>
      </c>
      <c r="K57" s="269" t="str">
        <f t="shared" ref="K57:S57" si="49">A61</f>
        <v>家事従事(n = 58 )　　</v>
      </c>
      <c r="L57" s="113">
        <f t="shared" si="49"/>
        <v>58</v>
      </c>
      <c r="M57" s="121">
        <f t="shared" si="49"/>
        <v>5</v>
      </c>
      <c r="N57" s="122">
        <f t="shared" si="49"/>
        <v>12</v>
      </c>
      <c r="O57" s="123">
        <f t="shared" si="49"/>
        <v>2</v>
      </c>
      <c r="P57" s="122">
        <f t="shared" si="49"/>
        <v>28</v>
      </c>
      <c r="Q57" s="123">
        <f t="shared" si="49"/>
        <v>7</v>
      </c>
      <c r="R57" s="124">
        <f t="shared" si="49"/>
        <v>3</v>
      </c>
      <c r="S57" s="124">
        <f t="shared" si="49"/>
        <v>1</v>
      </c>
      <c r="U57" s="50"/>
    </row>
    <row r="58" spans="1:21" x14ac:dyDescent="0.2">
      <c r="A58" s="268"/>
      <c r="B58" s="35">
        <f>B57/$B$47*100</f>
        <v>20.467836257309941</v>
      </c>
      <c r="C58" s="20">
        <f t="shared" ref="C58:I58" si="50">C57/$B$57*100</f>
        <v>11.428571428571429</v>
      </c>
      <c r="D58" s="207">
        <f t="shared" si="50"/>
        <v>23.571428571428569</v>
      </c>
      <c r="E58" s="207">
        <f t="shared" si="50"/>
        <v>5</v>
      </c>
      <c r="F58" s="207">
        <f t="shared" si="50"/>
        <v>42.142857142857146</v>
      </c>
      <c r="G58" s="207">
        <f t="shared" si="50"/>
        <v>13.571428571428571</v>
      </c>
      <c r="H58" s="207">
        <f t="shared" si="50"/>
        <v>4.2857142857142856</v>
      </c>
      <c r="I58" s="208">
        <f t="shared" si="50"/>
        <v>0</v>
      </c>
      <c r="J58" s="19"/>
      <c r="K58" s="270"/>
      <c r="L58" s="114">
        <f t="shared" ref="L58:S60" si="51">B62</f>
        <v>8.4795321637426895</v>
      </c>
      <c r="M58" s="125">
        <f t="shared" si="51"/>
        <v>8.6206896551724146</v>
      </c>
      <c r="N58" s="126">
        <f t="shared" si="51"/>
        <v>20.689655172413794</v>
      </c>
      <c r="O58" s="127">
        <f t="shared" si="51"/>
        <v>3.4482758620689653</v>
      </c>
      <c r="P58" s="126">
        <f t="shared" si="51"/>
        <v>48.275862068965516</v>
      </c>
      <c r="Q58" s="127">
        <f t="shared" si="51"/>
        <v>12.068965517241379</v>
      </c>
      <c r="R58" s="128">
        <f t="shared" si="51"/>
        <v>5.1724137931034484</v>
      </c>
      <c r="S58" s="128">
        <f t="shared" si="51"/>
        <v>1.7241379310344827</v>
      </c>
      <c r="U58" s="50"/>
    </row>
    <row r="59" spans="1:21" ht="13.5" customHeight="1" x14ac:dyDescent="0.2">
      <c r="A59" s="259" t="str">
        <f>"学生(n = "&amp;B59&amp;" )　　"</f>
        <v>学生(n = 25 )　　</v>
      </c>
      <c r="B59" s="34">
        <f>'問9S（表）'!E80+'問9S（表）'!F80</f>
        <v>25</v>
      </c>
      <c r="C59" s="28">
        <v>5</v>
      </c>
      <c r="D59" s="29">
        <v>5</v>
      </c>
      <c r="E59" s="29">
        <v>1</v>
      </c>
      <c r="F59" s="29">
        <v>11</v>
      </c>
      <c r="G59" s="29">
        <v>2</v>
      </c>
      <c r="H59" s="29">
        <v>1</v>
      </c>
      <c r="I59" s="30">
        <v>0</v>
      </c>
      <c r="J59" s="233">
        <v>6</v>
      </c>
      <c r="K59" s="269" t="str">
        <f>A63</f>
        <v>無職(n = 100 )　　</v>
      </c>
      <c r="L59" s="113">
        <f t="shared" si="51"/>
        <v>100</v>
      </c>
      <c r="M59" s="121">
        <f t="shared" si="51"/>
        <v>8</v>
      </c>
      <c r="N59" s="122">
        <f t="shared" si="51"/>
        <v>28</v>
      </c>
      <c r="O59" s="123">
        <f t="shared" si="51"/>
        <v>3</v>
      </c>
      <c r="P59" s="122">
        <f t="shared" si="51"/>
        <v>42</v>
      </c>
      <c r="Q59" s="123">
        <f t="shared" si="51"/>
        <v>15</v>
      </c>
      <c r="R59" s="124">
        <f t="shared" si="51"/>
        <v>4</v>
      </c>
      <c r="S59" s="124">
        <f t="shared" si="51"/>
        <v>0</v>
      </c>
      <c r="U59" s="50"/>
    </row>
    <row r="60" spans="1:21" x14ac:dyDescent="0.2">
      <c r="A60" s="260"/>
      <c r="B60" s="35">
        <f>B59/$B$47*100</f>
        <v>3.6549707602339181</v>
      </c>
      <c r="C60" s="20">
        <f t="shared" ref="C60:I60" si="52">C59/$B$59*100</f>
        <v>20</v>
      </c>
      <c r="D60" s="207">
        <f t="shared" si="52"/>
        <v>20</v>
      </c>
      <c r="E60" s="207">
        <f t="shared" si="52"/>
        <v>4</v>
      </c>
      <c r="F60" s="207">
        <f t="shared" si="52"/>
        <v>44</v>
      </c>
      <c r="G60" s="207">
        <f t="shared" si="52"/>
        <v>8</v>
      </c>
      <c r="H60" s="207">
        <f t="shared" si="52"/>
        <v>4</v>
      </c>
      <c r="I60" s="208">
        <f t="shared" si="52"/>
        <v>0</v>
      </c>
      <c r="J60" s="19"/>
      <c r="K60" s="270"/>
      <c r="L60" s="114">
        <f t="shared" si="51"/>
        <v>14.619883040935672</v>
      </c>
      <c r="M60" s="125">
        <f t="shared" si="51"/>
        <v>8</v>
      </c>
      <c r="N60" s="126">
        <f t="shared" si="51"/>
        <v>28.000000000000004</v>
      </c>
      <c r="O60" s="127">
        <f t="shared" si="51"/>
        <v>3</v>
      </c>
      <c r="P60" s="126">
        <f t="shared" si="51"/>
        <v>42</v>
      </c>
      <c r="Q60" s="127">
        <f t="shared" si="51"/>
        <v>15</v>
      </c>
      <c r="R60" s="128">
        <f t="shared" si="51"/>
        <v>4</v>
      </c>
      <c r="S60" s="128">
        <f t="shared" si="51"/>
        <v>0</v>
      </c>
      <c r="U60" s="50"/>
    </row>
    <row r="61" spans="1:21" ht="13.5" customHeight="1" x14ac:dyDescent="0.2">
      <c r="A61" s="259" t="str">
        <f>"家事従事(n = "&amp;B61&amp;" )　　"</f>
        <v>家事従事(n = 58 )　　</v>
      </c>
      <c r="B61" s="34">
        <f>'問9S（表）'!E82+'問9S（表）'!F82</f>
        <v>58</v>
      </c>
      <c r="C61" s="28">
        <v>5</v>
      </c>
      <c r="D61" s="29">
        <v>12</v>
      </c>
      <c r="E61" s="29">
        <v>2</v>
      </c>
      <c r="F61" s="29">
        <v>28</v>
      </c>
      <c r="G61" s="29">
        <v>7</v>
      </c>
      <c r="H61" s="29">
        <v>3</v>
      </c>
      <c r="I61" s="30">
        <v>1</v>
      </c>
      <c r="J61" s="233">
        <v>7</v>
      </c>
      <c r="K61" s="297" t="str">
        <f>"その他(n = "&amp;L61&amp;" )　　"</f>
        <v>その他(n = 40 )　　</v>
      </c>
      <c r="L61" s="113">
        <f t="shared" ref="L61:S61" si="53">B51+B59+B65</f>
        <v>40</v>
      </c>
      <c r="M61" s="121">
        <f t="shared" si="53"/>
        <v>6</v>
      </c>
      <c r="N61" s="122">
        <f t="shared" si="53"/>
        <v>10</v>
      </c>
      <c r="O61" s="123">
        <f t="shared" si="53"/>
        <v>2</v>
      </c>
      <c r="P61" s="122">
        <f t="shared" si="53"/>
        <v>16</v>
      </c>
      <c r="Q61" s="123">
        <f t="shared" si="53"/>
        <v>5</v>
      </c>
      <c r="R61" s="124">
        <f t="shared" si="53"/>
        <v>1</v>
      </c>
      <c r="S61" s="124">
        <f t="shared" si="53"/>
        <v>0</v>
      </c>
      <c r="U61" s="50"/>
    </row>
    <row r="62" spans="1:21" ht="13.5" customHeight="1" x14ac:dyDescent="0.2">
      <c r="A62" s="260"/>
      <c r="B62" s="35">
        <f>B61/$B$47*100</f>
        <v>8.4795321637426895</v>
      </c>
      <c r="C62" s="20">
        <f t="shared" ref="C62:I62" si="54">C61/$B$61*100</f>
        <v>8.6206896551724146</v>
      </c>
      <c r="D62" s="207">
        <f t="shared" si="54"/>
        <v>20.689655172413794</v>
      </c>
      <c r="E62" s="207">
        <f t="shared" si="54"/>
        <v>3.4482758620689653</v>
      </c>
      <c r="F62" s="207">
        <f t="shared" si="54"/>
        <v>48.275862068965516</v>
      </c>
      <c r="G62" s="207">
        <f t="shared" si="54"/>
        <v>12.068965517241379</v>
      </c>
      <c r="H62" s="207">
        <f t="shared" si="54"/>
        <v>5.1724137931034484</v>
      </c>
      <c r="I62" s="208">
        <f t="shared" si="54"/>
        <v>1.7241379310344827</v>
      </c>
      <c r="J62" s="19"/>
      <c r="K62" s="298"/>
      <c r="L62" s="114">
        <f>L61/L47*100</f>
        <v>5.8479532163742682</v>
      </c>
      <c r="M62" s="125">
        <f t="shared" ref="M62:S62" si="55">M61/$L$61*100</f>
        <v>15</v>
      </c>
      <c r="N62" s="126">
        <f t="shared" si="55"/>
        <v>25</v>
      </c>
      <c r="O62" s="127">
        <f t="shared" si="55"/>
        <v>5</v>
      </c>
      <c r="P62" s="126">
        <f t="shared" si="55"/>
        <v>40</v>
      </c>
      <c r="Q62" s="127">
        <f t="shared" si="55"/>
        <v>12.5</v>
      </c>
      <c r="R62" s="128">
        <f t="shared" si="55"/>
        <v>2.5</v>
      </c>
      <c r="S62" s="128">
        <f t="shared" si="55"/>
        <v>0</v>
      </c>
      <c r="U62" s="50"/>
    </row>
    <row r="63" spans="1:21" ht="13.5" customHeight="1" x14ac:dyDescent="0.2">
      <c r="A63" s="259" t="str">
        <f>"無職(n = "&amp;B63&amp;" )　　"</f>
        <v>無職(n = 100 )　　</v>
      </c>
      <c r="B63" s="34">
        <f>'問9S（表）'!E84+'問9S（表）'!F84</f>
        <v>100</v>
      </c>
      <c r="C63" s="28">
        <v>8</v>
      </c>
      <c r="D63" s="29">
        <v>28</v>
      </c>
      <c r="E63" s="29">
        <v>3</v>
      </c>
      <c r="F63" s="29">
        <v>42</v>
      </c>
      <c r="G63" s="29">
        <v>15</v>
      </c>
      <c r="H63" s="29">
        <v>4</v>
      </c>
      <c r="I63" s="30">
        <v>0</v>
      </c>
      <c r="J63" s="233">
        <v>8</v>
      </c>
      <c r="K63" s="261" t="s">
        <v>33</v>
      </c>
      <c r="L63" s="22"/>
      <c r="M63" s="22"/>
      <c r="N63" s="22"/>
      <c r="O63" s="4"/>
      <c r="P63" s="4"/>
      <c r="Q63" s="4"/>
      <c r="T63" s="50"/>
    </row>
    <row r="64" spans="1:21" ht="13.5" customHeight="1" x14ac:dyDescent="0.2">
      <c r="A64" s="260"/>
      <c r="B64" s="35">
        <f>B63/$B$47*100</f>
        <v>14.619883040935672</v>
      </c>
      <c r="C64" s="20">
        <f t="shared" ref="C64:I64" si="56">C63/$B$63*100</f>
        <v>8</v>
      </c>
      <c r="D64" s="207">
        <f t="shared" si="56"/>
        <v>28.000000000000004</v>
      </c>
      <c r="E64" s="207">
        <f t="shared" si="56"/>
        <v>3</v>
      </c>
      <c r="F64" s="207">
        <f t="shared" si="56"/>
        <v>42</v>
      </c>
      <c r="G64" s="207">
        <f t="shared" si="56"/>
        <v>15</v>
      </c>
      <c r="H64" s="207">
        <f t="shared" si="56"/>
        <v>4</v>
      </c>
      <c r="I64" s="208">
        <f t="shared" si="56"/>
        <v>0</v>
      </c>
      <c r="J64" s="19"/>
      <c r="K64" s="262"/>
      <c r="L64" s="8"/>
      <c r="M64" s="8"/>
      <c r="N64" s="8"/>
      <c r="O64" s="8"/>
      <c r="P64" s="8"/>
      <c r="Q64" s="8"/>
      <c r="T64" s="50"/>
    </row>
    <row r="65" spans="1:21" ht="13.5" customHeight="1" x14ac:dyDescent="0.2">
      <c r="A65" s="259" t="str">
        <f>"その他(n = "&amp;B65&amp;" )　　"</f>
        <v>その他(n = 10 )　　</v>
      </c>
      <c r="B65" s="34">
        <f>'問9S（表）'!E86+'問9S（表）'!F86</f>
        <v>10</v>
      </c>
      <c r="C65" s="28">
        <v>1</v>
      </c>
      <c r="D65" s="29">
        <v>5</v>
      </c>
      <c r="E65" s="29">
        <v>0</v>
      </c>
      <c r="F65" s="29">
        <v>2</v>
      </c>
      <c r="G65" s="29">
        <v>2</v>
      </c>
      <c r="H65" s="29">
        <v>0</v>
      </c>
      <c r="I65" s="30">
        <v>0</v>
      </c>
      <c r="J65" s="233">
        <v>9</v>
      </c>
      <c r="K65" s="12" t="str">
        <f>K46</f>
        <v>【職業別】</v>
      </c>
      <c r="L65" s="61" t="str">
        <f t="shared" ref="L65:R65" si="57">M46</f>
        <v>県の行政そのものに興味がないから</v>
      </c>
      <c r="M65" s="62" t="str">
        <f t="shared" si="57"/>
        <v>県がどのような仕事をしているのか知らないから</v>
      </c>
      <c r="N65" s="61" t="str">
        <f t="shared" si="57"/>
        <v>県の仕事は、自分に関係がないから</v>
      </c>
      <c r="O65" s="62" t="str">
        <f t="shared" si="57"/>
        <v>県の施設を利用したり、県の仕事に接する機会が少ないから</v>
      </c>
      <c r="P65" s="62" t="str">
        <f t="shared" si="57"/>
        <v>自分たちの意見が反映されるとは思えないから</v>
      </c>
      <c r="Q65" s="63" t="str">
        <f t="shared" si="57"/>
        <v>その他</v>
      </c>
      <c r="R65" s="63" t="str">
        <f t="shared" si="57"/>
        <v>無回答</v>
      </c>
      <c r="S65" s="46" t="s">
        <v>310</v>
      </c>
      <c r="T65" s="46" t="s">
        <v>309</v>
      </c>
      <c r="U65" s="51" t="s">
        <v>42</v>
      </c>
    </row>
    <row r="66" spans="1:21" ht="13.5" customHeight="1" x14ac:dyDescent="0.2">
      <c r="A66" s="260"/>
      <c r="B66" s="35">
        <f>B65/$B$47*100</f>
        <v>1.4619883040935671</v>
      </c>
      <c r="C66" s="20">
        <f t="shared" ref="C66:I66" si="58">C65/$B$65*100</f>
        <v>10</v>
      </c>
      <c r="D66" s="207">
        <f t="shared" si="58"/>
        <v>50</v>
      </c>
      <c r="E66" s="207">
        <f t="shared" si="58"/>
        <v>0</v>
      </c>
      <c r="F66" s="207">
        <f t="shared" si="58"/>
        <v>20</v>
      </c>
      <c r="G66" s="207">
        <f t="shared" si="58"/>
        <v>20</v>
      </c>
      <c r="H66" s="207">
        <f t="shared" si="58"/>
        <v>0</v>
      </c>
      <c r="I66" s="208">
        <f t="shared" si="58"/>
        <v>0</v>
      </c>
      <c r="J66" s="19"/>
      <c r="K66" s="67" t="str">
        <f>K47</f>
        <v>全体(n = 684 )　　</v>
      </c>
      <c r="L66" s="71">
        <f t="shared" ref="L66:R66" si="59">M48</f>
        <v>11.111111111111111</v>
      </c>
      <c r="M66" s="72">
        <f t="shared" si="59"/>
        <v>24.269005847953213</v>
      </c>
      <c r="N66" s="71">
        <f t="shared" si="59"/>
        <v>3.2163742690058479</v>
      </c>
      <c r="O66" s="72">
        <f t="shared" si="59"/>
        <v>41.520467836257311</v>
      </c>
      <c r="P66" s="72">
        <f t="shared" si="59"/>
        <v>16.520467836257311</v>
      </c>
      <c r="Q66" s="73">
        <f t="shared" si="59"/>
        <v>3.2163742690058479</v>
      </c>
      <c r="R66" s="73">
        <f t="shared" si="59"/>
        <v>0.14619883040935672</v>
      </c>
      <c r="S66" s="47">
        <f t="shared" ref="S66:S73" si="60">L66+M66</f>
        <v>35.380116959064324</v>
      </c>
      <c r="T66" s="47">
        <f t="shared" ref="T66:T73" si="61">N66+O66</f>
        <v>44.736842105263158</v>
      </c>
      <c r="U66" s="49">
        <f t="shared" ref="U66:U73" si="62">S66-T66</f>
        <v>-9.3567251461988334</v>
      </c>
    </row>
    <row r="67" spans="1:21" ht="13.5" customHeight="1" x14ac:dyDescent="0.2">
      <c r="K67" s="82" t="str">
        <f>K49</f>
        <v>自営業(n = 66 )　　</v>
      </c>
      <c r="L67" s="85">
        <f t="shared" ref="L67:R67" si="63">M50</f>
        <v>9.0909090909090917</v>
      </c>
      <c r="M67" s="86">
        <f t="shared" si="63"/>
        <v>19.696969696969695</v>
      </c>
      <c r="N67" s="85">
        <f t="shared" si="63"/>
        <v>3.0303030303030303</v>
      </c>
      <c r="O67" s="86">
        <f t="shared" si="63"/>
        <v>40.909090909090914</v>
      </c>
      <c r="P67" s="86">
        <f t="shared" si="63"/>
        <v>24.242424242424242</v>
      </c>
      <c r="Q67" s="87">
        <f t="shared" si="63"/>
        <v>3.0303030303030303</v>
      </c>
      <c r="R67" s="87">
        <f t="shared" si="63"/>
        <v>0</v>
      </c>
      <c r="S67" s="228">
        <f t="shared" si="60"/>
        <v>28.787878787878789</v>
      </c>
      <c r="T67" s="228">
        <f t="shared" si="61"/>
        <v>43.939393939393945</v>
      </c>
      <c r="U67" s="25">
        <f t="shared" si="62"/>
        <v>-15.151515151515156</v>
      </c>
    </row>
    <row r="68" spans="1:21" ht="13.5" customHeight="1" x14ac:dyDescent="0.2">
      <c r="K68" s="83" t="str">
        <f>K51</f>
        <v>会社・団体役員(n = 78 )　　</v>
      </c>
      <c r="L68" s="89">
        <f t="shared" ref="L68:R68" si="64">M52</f>
        <v>16.666666666666664</v>
      </c>
      <c r="M68" s="90">
        <f t="shared" si="64"/>
        <v>33.333333333333329</v>
      </c>
      <c r="N68" s="89">
        <f t="shared" si="64"/>
        <v>2.5641025641025639</v>
      </c>
      <c r="O68" s="90">
        <f t="shared" si="64"/>
        <v>30.76923076923077</v>
      </c>
      <c r="P68" s="90">
        <f t="shared" si="64"/>
        <v>14.102564102564102</v>
      </c>
      <c r="Q68" s="91">
        <f t="shared" si="64"/>
        <v>2.5641025641025639</v>
      </c>
      <c r="R68" s="91">
        <f t="shared" si="64"/>
        <v>0</v>
      </c>
      <c r="S68" s="228">
        <f t="shared" si="60"/>
        <v>49.999999999999993</v>
      </c>
      <c r="T68" s="228">
        <f t="shared" si="61"/>
        <v>33.333333333333336</v>
      </c>
      <c r="U68" s="25">
        <f t="shared" si="62"/>
        <v>16.666666666666657</v>
      </c>
    </row>
    <row r="69" spans="1:21" ht="13.5" customHeight="1" x14ac:dyDescent="0.2">
      <c r="K69" s="83" t="str">
        <f>K53</f>
        <v>正規の従業員・職員(n = 200 )　　</v>
      </c>
      <c r="L69" s="89">
        <f t="shared" ref="L69:R69" si="65">M54</f>
        <v>11</v>
      </c>
      <c r="M69" s="90">
        <f t="shared" si="65"/>
        <v>21.5</v>
      </c>
      <c r="N69" s="89">
        <f t="shared" si="65"/>
        <v>2</v>
      </c>
      <c r="O69" s="90">
        <f t="shared" si="65"/>
        <v>43.5</v>
      </c>
      <c r="P69" s="90">
        <f t="shared" si="65"/>
        <v>20</v>
      </c>
      <c r="Q69" s="91">
        <f t="shared" si="65"/>
        <v>2</v>
      </c>
      <c r="R69" s="91">
        <f t="shared" si="65"/>
        <v>0</v>
      </c>
      <c r="S69" s="228">
        <f t="shared" si="60"/>
        <v>32.5</v>
      </c>
      <c r="T69" s="228">
        <f t="shared" si="61"/>
        <v>45.5</v>
      </c>
      <c r="U69" s="25">
        <f t="shared" si="62"/>
        <v>-13</v>
      </c>
    </row>
    <row r="70" spans="1:21" ht="13.5" customHeight="1" x14ac:dyDescent="0.2">
      <c r="K70" s="83" t="str">
        <f>K55</f>
        <v>パートタイム・アルバイト・派遣(n = 140 )　　</v>
      </c>
      <c r="L70" s="89">
        <f t="shared" ref="L70:R70" si="66">M56</f>
        <v>11.428571428571429</v>
      </c>
      <c r="M70" s="90">
        <f t="shared" si="66"/>
        <v>23.571428571428569</v>
      </c>
      <c r="N70" s="89">
        <f t="shared" si="66"/>
        <v>5</v>
      </c>
      <c r="O70" s="90">
        <f t="shared" si="66"/>
        <v>42.142857142857146</v>
      </c>
      <c r="P70" s="90">
        <f t="shared" si="66"/>
        <v>13.571428571428571</v>
      </c>
      <c r="Q70" s="91">
        <f t="shared" si="66"/>
        <v>4.2857142857142856</v>
      </c>
      <c r="R70" s="91">
        <f t="shared" si="66"/>
        <v>0</v>
      </c>
      <c r="S70" s="228">
        <f t="shared" si="60"/>
        <v>35</v>
      </c>
      <c r="T70" s="228">
        <f t="shared" si="61"/>
        <v>47.142857142857146</v>
      </c>
      <c r="U70" s="25">
        <f t="shared" si="62"/>
        <v>-12.142857142857146</v>
      </c>
    </row>
    <row r="71" spans="1:21" ht="13.5" customHeight="1" x14ac:dyDescent="0.2">
      <c r="K71" s="83" t="str">
        <f>K57</f>
        <v>家事従事(n = 58 )　　</v>
      </c>
      <c r="L71" s="89">
        <f t="shared" ref="L71:R71" si="67">M58</f>
        <v>8.6206896551724146</v>
      </c>
      <c r="M71" s="90">
        <f t="shared" si="67"/>
        <v>20.689655172413794</v>
      </c>
      <c r="N71" s="89">
        <f t="shared" si="67"/>
        <v>3.4482758620689653</v>
      </c>
      <c r="O71" s="90">
        <f t="shared" si="67"/>
        <v>48.275862068965516</v>
      </c>
      <c r="P71" s="90">
        <f t="shared" si="67"/>
        <v>12.068965517241379</v>
      </c>
      <c r="Q71" s="91">
        <f t="shared" si="67"/>
        <v>5.1724137931034484</v>
      </c>
      <c r="R71" s="91">
        <f t="shared" si="67"/>
        <v>1.7241379310344827</v>
      </c>
      <c r="S71" s="228">
        <f t="shared" si="60"/>
        <v>29.310344827586206</v>
      </c>
      <c r="T71" s="228">
        <f t="shared" si="61"/>
        <v>51.724137931034484</v>
      </c>
      <c r="U71" s="25">
        <f t="shared" si="62"/>
        <v>-22.413793103448278</v>
      </c>
    </row>
    <row r="72" spans="1:21" ht="13.5" customHeight="1" x14ac:dyDescent="0.2">
      <c r="K72" s="83" t="str">
        <f>K59</f>
        <v>無職(n = 100 )　　</v>
      </c>
      <c r="L72" s="89">
        <f t="shared" ref="L72:R72" si="68">M60</f>
        <v>8</v>
      </c>
      <c r="M72" s="90">
        <f t="shared" si="68"/>
        <v>28.000000000000004</v>
      </c>
      <c r="N72" s="89">
        <f t="shared" si="68"/>
        <v>3</v>
      </c>
      <c r="O72" s="90">
        <f t="shared" si="68"/>
        <v>42</v>
      </c>
      <c r="P72" s="90">
        <f t="shared" si="68"/>
        <v>15</v>
      </c>
      <c r="Q72" s="91">
        <f t="shared" si="68"/>
        <v>4</v>
      </c>
      <c r="R72" s="91">
        <f t="shared" si="68"/>
        <v>0</v>
      </c>
      <c r="S72" s="228">
        <f t="shared" si="60"/>
        <v>36</v>
      </c>
      <c r="T72" s="228">
        <f t="shared" si="61"/>
        <v>45</v>
      </c>
      <c r="U72" s="25">
        <f t="shared" si="62"/>
        <v>-9</v>
      </c>
    </row>
    <row r="73" spans="1:21" ht="13.5" customHeight="1" x14ac:dyDescent="0.2">
      <c r="K73" s="69" t="str">
        <f>K61</f>
        <v>その他(n = 40 )　　</v>
      </c>
      <c r="L73" s="79">
        <f t="shared" ref="L73:R73" si="69">M62</f>
        <v>15</v>
      </c>
      <c r="M73" s="80">
        <f t="shared" si="69"/>
        <v>25</v>
      </c>
      <c r="N73" s="79">
        <f t="shared" si="69"/>
        <v>5</v>
      </c>
      <c r="O73" s="80">
        <f t="shared" si="69"/>
        <v>40</v>
      </c>
      <c r="P73" s="80">
        <f t="shared" si="69"/>
        <v>12.5</v>
      </c>
      <c r="Q73" s="81">
        <f t="shared" si="69"/>
        <v>2.5</v>
      </c>
      <c r="R73" s="81">
        <f t="shared" si="69"/>
        <v>0</v>
      </c>
      <c r="S73" s="228">
        <f t="shared" si="60"/>
        <v>40</v>
      </c>
      <c r="T73" s="228">
        <f t="shared" si="61"/>
        <v>45</v>
      </c>
      <c r="U73" s="25">
        <f t="shared" si="62"/>
        <v>-5</v>
      </c>
    </row>
    <row r="74" spans="1:21" x14ac:dyDescent="0.2">
      <c r="S74" s="50"/>
    </row>
  </sheetData>
  <mergeCells count="36">
    <mergeCell ref="A55:A56"/>
    <mergeCell ref="K55:K56"/>
    <mergeCell ref="A57:A58"/>
    <mergeCell ref="K57:K58"/>
    <mergeCell ref="A65:A66"/>
    <mergeCell ref="A59:A60"/>
    <mergeCell ref="K59:K60"/>
    <mergeCell ref="A61:A62"/>
    <mergeCell ref="K61:K62"/>
    <mergeCell ref="A63:A64"/>
    <mergeCell ref="K63:K64"/>
    <mergeCell ref="A49:A50"/>
    <mergeCell ref="K49:K50"/>
    <mergeCell ref="A51:A52"/>
    <mergeCell ref="K51:K52"/>
    <mergeCell ref="A53:A54"/>
    <mergeCell ref="K53:K54"/>
    <mergeCell ref="K47:K48"/>
    <mergeCell ref="A21:A22"/>
    <mergeCell ref="A23:A24"/>
    <mergeCell ref="A25:A26"/>
    <mergeCell ref="A27:A28"/>
    <mergeCell ref="A32:A33"/>
    <mergeCell ref="A34:A35"/>
    <mergeCell ref="A36:A37"/>
    <mergeCell ref="A38:A39"/>
    <mergeCell ref="A40:A41"/>
    <mergeCell ref="A42:A43"/>
    <mergeCell ref="A47:A48"/>
    <mergeCell ref="A19:A20"/>
    <mergeCell ref="A3:A4"/>
    <mergeCell ref="A5:A6"/>
    <mergeCell ref="A7:A8"/>
    <mergeCell ref="A13:A14"/>
    <mergeCell ref="A17:A18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224"/>
  <sheetViews>
    <sheetView topLeftCell="A210" zoomScaleNormal="100" workbookViewId="0">
      <selection activeCell="H226" sqref="H226"/>
    </sheetView>
  </sheetViews>
  <sheetFormatPr defaultRowHeight="13.2" x14ac:dyDescent="0.2"/>
  <sheetData>
    <row r="1" spans="1:41" x14ac:dyDescent="0.2">
      <c r="A1" s="3" t="s">
        <v>412</v>
      </c>
      <c r="B1" s="1" t="s">
        <v>411</v>
      </c>
      <c r="C1" s="8">
        <v>1</v>
      </c>
      <c r="D1" s="9">
        <f t="shared" ref="D1:AL1" si="0">C1+1</f>
        <v>2</v>
      </c>
      <c r="E1" s="9">
        <f t="shared" si="0"/>
        <v>3</v>
      </c>
      <c r="F1" s="9">
        <f t="shared" si="0"/>
        <v>4</v>
      </c>
      <c r="G1" s="9">
        <f t="shared" si="0"/>
        <v>5</v>
      </c>
      <c r="H1" s="9">
        <f t="shared" si="0"/>
        <v>6</v>
      </c>
      <c r="I1" s="9">
        <f t="shared" si="0"/>
        <v>7</v>
      </c>
      <c r="J1" s="9">
        <f t="shared" si="0"/>
        <v>8</v>
      </c>
      <c r="K1" s="9">
        <f t="shared" si="0"/>
        <v>9</v>
      </c>
      <c r="L1" s="9">
        <f t="shared" si="0"/>
        <v>10</v>
      </c>
      <c r="M1" s="9">
        <f t="shared" si="0"/>
        <v>11</v>
      </c>
      <c r="N1" s="9">
        <f t="shared" si="0"/>
        <v>12</v>
      </c>
      <c r="O1" s="9">
        <f t="shared" si="0"/>
        <v>13</v>
      </c>
      <c r="P1" s="9">
        <f t="shared" si="0"/>
        <v>14</v>
      </c>
      <c r="Q1" s="9">
        <f t="shared" si="0"/>
        <v>15</v>
      </c>
      <c r="R1" s="9">
        <f t="shared" si="0"/>
        <v>16</v>
      </c>
      <c r="S1" s="9">
        <f t="shared" si="0"/>
        <v>17</v>
      </c>
      <c r="T1" s="9">
        <f t="shared" si="0"/>
        <v>18</v>
      </c>
      <c r="U1" s="9">
        <f t="shared" si="0"/>
        <v>19</v>
      </c>
      <c r="V1" s="9">
        <f t="shared" si="0"/>
        <v>20</v>
      </c>
      <c r="W1" s="9">
        <f t="shared" si="0"/>
        <v>21</v>
      </c>
      <c r="X1" s="9">
        <f t="shared" si="0"/>
        <v>22</v>
      </c>
      <c r="Y1" s="9">
        <f t="shared" si="0"/>
        <v>23</v>
      </c>
      <c r="Z1" s="9">
        <f t="shared" si="0"/>
        <v>24</v>
      </c>
      <c r="AA1" s="9">
        <f t="shared" si="0"/>
        <v>25</v>
      </c>
      <c r="AB1" s="9">
        <f t="shared" si="0"/>
        <v>26</v>
      </c>
      <c r="AC1" s="9">
        <f t="shared" si="0"/>
        <v>27</v>
      </c>
      <c r="AD1" s="9">
        <f t="shared" si="0"/>
        <v>28</v>
      </c>
      <c r="AE1" s="9">
        <f t="shared" si="0"/>
        <v>29</v>
      </c>
      <c r="AF1" s="9">
        <f t="shared" si="0"/>
        <v>30</v>
      </c>
      <c r="AG1" s="9">
        <f t="shared" si="0"/>
        <v>31</v>
      </c>
      <c r="AH1" s="9">
        <f t="shared" si="0"/>
        <v>32</v>
      </c>
      <c r="AI1" s="9">
        <f t="shared" si="0"/>
        <v>33</v>
      </c>
      <c r="AJ1" s="9">
        <f t="shared" si="0"/>
        <v>34</v>
      </c>
      <c r="AK1" s="9">
        <f t="shared" si="0"/>
        <v>35</v>
      </c>
      <c r="AL1" s="9">
        <f t="shared" si="0"/>
        <v>36</v>
      </c>
    </row>
    <row r="2" spans="1:41" ht="64.8" x14ac:dyDescent="0.2">
      <c r="A2" s="12" t="s">
        <v>20</v>
      </c>
      <c r="B2" s="59" t="s">
        <v>3</v>
      </c>
      <c r="C2" s="60" t="s">
        <v>410</v>
      </c>
      <c r="D2" s="61" t="s">
        <v>403</v>
      </c>
      <c r="E2" s="61" t="s">
        <v>386</v>
      </c>
      <c r="F2" s="61" t="s">
        <v>402</v>
      </c>
      <c r="G2" s="61" t="s">
        <v>380</v>
      </c>
      <c r="H2" s="61" t="s">
        <v>405</v>
      </c>
      <c r="I2" s="61" t="s">
        <v>397</v>
      </c>
      <c r="J2" s="61" t="s">
        <v>407</v>
      </c>
      <c r="K2" s="61" t="s">
        <v>400</v>
      </c>
      <c r="L2" s="61" t="s">
        <v>394</v>
      </c>
      <c r="M2" s="61" t="s">
        <v>379</v>
      </c>
      <c r="N2" s="61" t="s">
        <v>408</v>
      </c>
      <c r="O2" s="61" t="s">
        <v>395</v>
      </c>
      <c r="P2" s="61" t="s">
        <v>383</v>
      </c>
      <c r="Q2" s="62" t="s">
        <v>406</v>
      </c>
      <c r="R2" s="61" t="s">
        <v>389</v>
      </c>
      <c r="S2" s="105" t="s">
        <v>385</v>
      </c>
      <c r="T2" s="105" t="s">
        <v>382</v>
      </c>
      <c r="U2" s="61" t="s">
        <v>401</v>
      </c>
      <c r="V2" s="105" t="s">
        <v>384</v>
      </c>
      <c r="W2" s="61" t="s">
        <v>376</v>
      </c>
      <c r="X2" s="61" t="s">
        <v>375</v>
      </c>
      <c r="Y2" s="61" t="s">
        <v>378</v>
      </c>
      <c r="Z2" s="61" t="s">
        <v>391</v>
      </c>
      <c r="AA2" s="61" t="s">
        <v>377</v>
      </c>
      <c r="AB2" s="61" t="s">
        <v>409</v>
      </c>
      <c r="AC2" s="61" t="s">
        <v>404</v>
      </c>
      <c r="AD2" s="61" t="s">
        <v>390</v>
      </c>
      <c r="AE2" s="61" t="s">
        <v>392</v>
      </c>
      <c r="AF2" s="61" t="s">
        <v>399</v>
      </c>
      <c r="AG2" s="61" t="s">
        <v>398</v>
      </c>
      <c r="AH2" s="61" t="s">
        <v>388</v>
      </c>
      <c r="AI2" s="61" t="s">
        <v>393</v>
      </c>
      <c r="AJ2" s="61" t="s">
        <v>396</v>
      </c>
      <c r="AK2" s="61" t="s">
        <v>381</v>
      </c>
      <c r="AL2" s="61" t="s">
        <v>387</v>
      </c>
      <c r="AM2" s="63"/>
      <c r="AN2" s="5" t="s">
        <v>118</v>
      </c>
    </row>
    <row r="3" spans="1:41" ht="13.5" customHeight="1" x14ac:dyDescent="0.2">
      <c r="A3" s="269" t="str">
        <f>'問9S（表）'!A24</f>
        <v>全体(n = 1,616 )　　</v>
      </c>
      <c r="B3" s="34">
        <v>1616</v>
      </c>
      <c r="C3" s="31">
        <v>453</v>
      </c>
      <c r="D3" s="32">
        <v>203</v>
      </c>
      <c r="E3" s="32">
        <v>55</v>
      </c>
      <c r="F3" s="32">
        <v>194</v>
      </c>
      <c r="G3" s="32">
        <v>29</v>
      </c>
      <c r="H3" s="32">
        <v>237</v>
      </c>
      <c r="I3" s="32">
        <v>127</v>
      </c>
      <c r="J3" s="32">
        <v>284</v>
      </c>
      <c r="K3" s="32">
        <v>178</v>
      </c>
      <c r="L3" s="32">
        <v>97</v>
      </c>
      <c r="M3" s="32">
        <v>23</v>
      </c>
      <c r="N3" s="32">
        <v>287</v>
      </c>
      <c r="O3" s="32">
        <v>100</v>
      </c>
      <c r="P3" s="32">
        <v>37</v>
      </c>
      <c r="Q3" s="32">
        <v>248</v>
      </c>
      <c r="R3" s="32">
        <v>71</v>
      </c>
      <c r="S3" s="32">
        <v>48</v>
      </c>
      <c r="T3" s="32">
        <v>35</v>
      </c>
      <c r="U3" s="32">
        <v>180</v>
      </c>
      <c r="V3" s="32">
        <v>38</v>
      </c>
      <c r="W3" s="32">
        <v>18</v>
      </c>
      <c r="X3" s="32">
        <v>12</v>
      </c>
      <c r="Y3" s="32">
        <v>23</v>
      </c>
      <c r="Z3" s="32">
        <v>76</v>
      </c>
      <c r="AA3" s="32">
        <v>21</v>
      </c>
      <c r="AB3" s="32">
        <v>296</v>
      </c>
      <c r="AC3" s="32">
        <v>213</v>
      </c>
      <c r="AD3" s="32">
        <v>75</v>
      </c>
      <c r="AE3" s="32">
        <v>91</v>
      </c>
      <c r="AF3" s="32">
        <v>136</v>
      </c>
      <c r="AG3" s="32">
        <v>134</v>
      </c>
      <c r="AH3" s="32">
        <v>64</v>
      </c>
      <c r="AI3" s="32">
        <v>94</v>
      </c>
      <c r="AJ3" s="32">
        <v>123</v>
      </c>
      <c r="AK3" s="32">
        <v>30</v>
      </c>
      <c r="AL3" s="32">
        <v>57</v>
      </c>
      <c r="AM3" s="33"/>
      <c r="AN3" s="5">
        <f>SUM($C3:AM3)</f>
        <v>4387</v>
      </c>
    </row>
    <row r="4" spans="1:41" x14ac:dyDescent="0.2">
      <c r="A4" s="270"/>
      <c r="B4" s="35">
        <v>100</v>
      </c>
      <c r="C4" s="20">
        <f t="shared" ref="C4:AL4" si="1">C3/$B$3*100</f>
        <v>28.032178217821784</v>
      </c>
      <c r="D4" s="207">
        <f t="shared" si="1"/>
        <v>12.561881188118813</v>
      </c>
      <c r="E4" s="207">
        <f t="shared" si="1"/>
        <v>3.4034653465346536</v>
      </c>
      <c r="F4" s="207">
        <f t="shared" si="1"/>
        <v>12.004950495049505</v>
      </c>
      <c r="G4" s="207">
        <f t="shared" si="1"/>
        <v>1.7945544554455444</v>
      </c>
      <c r="H4" s="207">
        <f t="shared" si="1"/>
        <v>14.665841584158414</v>
      </c>
      <c r="I4" s="207">
        <f t="shared" si="1"/>
        <v>7.858910891089109</v>
      </c>
      <c r="J4" s="207">
        <f t="shared" si="1"/>
        <v>17.574257425742573</v>
      </c>
      <c r="K4" s="207">
        <f t="shared" si="1"/>
        <v>11.014851485148515</v>
      </c>
      <c r="L4" s="207">
        <f t="shared" si="1"/>
        <v>6.0024752475247523</v>
      </c>
      <c r="M4" s="207">
        <f t="shared" si="1"/>
        <v>1.4232673267326734</v>
      </c>
      <c r="N4" s="207">
        <f t="shared" si="1"/>
        <v>17.759900990099009</v>
      </c>
      <c r="O4" s="207">
        <f t="shared" si="1"/>
        <v>6.1881188118811883</v>
      </c>
      <c r="P4" s="207">
        <f t="shared" si="1"/>
        <v>2.2896039603960396</v>
      </c>
      <c r="Q4" s="207">
        <f t="shared" si="1"/>
        <v>15.346534653465346</v>
      </c>
      <c r="R4" s="207">
        <f t="shared" si="1"/>
        <v>4.3935643564356432</v>
      </c>
      <c r="S4" s="207">
        <f t="shared" si="1"/>
        <v>2.9702970297029703</v>
      </c>
      <c r="T4" s="207">
        <f t="shared" si="1"/>
        <v>2.1658415841584158</v>
      </c>
      <c r="U4" s="207">
        <f t="shared" si="1"/>
        <v>11.138613861386139</v>
      </c>
      <c r="V4" s="207">
        <f t="shared" si="1"/>
        <v>2.3514851485148514</v>
      </c>
      <c r="W4" s="207">
        <f t="shared" si="1"/>
        <v>1.1138613861386137</v>
      </c>
      <c r="X4" s="207">
        <f t="shared" si="1"/>
        <v>0.74257425742574257</v>
      </c>
      <c r="Y4" s="207">
        <f t="shared" si="1"/>
        <v>1.4232673267326734</v>
      </c>
      <c r="Z4" s="207">
        <f t="shared" si="1"/>
        <v>4.7029702970297027</v>
      </c>
      <c r="AA4" s="207">
        <f t="shared" si="1"/>
        <v>1.2995049504950495</v>
      </c>
      <c r="AB4" s="207">
        <f t="shared" si="1"/>
        <v>18.316831683168317</v>
      </c>
      <c r="AC4" s="207">
        <f t="shared" si="1"/>
        <v>13.180693069306932</v>
      </c>
      <c r="AD4" s="207">
        <f t="shared" si="1"/>
        <v>4.641089108910891</v>
      </c>
      <c r="AE4" s="207">
        <f t="shared" si="1"/>
        <v>5.6311881188118811</v>
      </c>
      <c r="AF4" s="207">
        <f t="shared" si="1"/>
        <v>8.4158415841584162</v>
      </c>
      <c r="AG4" s="207">
        <f t="shared" si="1"/>
        <v>8.2920792079207928</v>
      </c>
      <c r="AH4" s="207">
        <f t="shared" si="1"/>
        <v>3.9603960396039604</v>
      </c>
      <c r="AI4" s="207">
        <f t="shared" si="1"/>
        <v>5.8168316831683171</v>
      </c>
      <c r="AJ4" s="207">
        <f t="shared" si="1"/>
        <v>7.6113861386138613</v>
      </c>
      <c r="AK4" s="207">
        <f t="shared" si="1"/>
        <v>1.8564356435643563</v>
      </c>
      <c r="AL4" s="207">
        <f t="shared" si="1"/>
        <v>3.527227722772277</v>
      </c>
      <c r="AM4" s="208"/>
      <c r="AN4" s="195"/>
    </row>
    <row r="5" spans="1:41" ht="13.5" customHeight="1" x14ac:dyDescent="0.2">
      <c r="A5" s="269" t="str">
        <f>'問9S（表）'!A26</f>
        <v>男性(n = 705 )　　</v>
      </c>
      <c r="B5" s="34">
        <v>705</v>
      </c>
      <c r="C5" s="28">
        <v>240</v>
      </c>
      <c r="D5" s="29">
        <v>98</v>
      </c>
      <c r="E5" s="29">
        <v>30</v>
      </c>
      <c r="F5" s="29">
        <v>97</v>
      </c>
      <c r="G5" s="29">
        <v>18</v>
      </c>
      <c r="H5" s="29">
        <v>129</v>
      </c>
      <c r="I5" s="29">
        <v>58</v>
      </c>
      <c r="J5" s="29">
        <v>124</v>
      </c>
      <c r="K5" s="29">
        <v>62</v>
      </c>
      <c r="L5" s="29">
        <v>42</v>
      </c>
      <c r="M5" s="29">
        <v>14</v>
      </c>
      <c r="N5" s="29">
        <v>123</v>
      </c>
      <c r="O5" s="29">
        <v>48</v>
      </c>
      <c r="P5" s="29">
        <v>19</v>
      </c>
      <c r="Q5" s="29">
        <v>81</v>
      </c>
      <c r="R5" s="29">
        <v>35</v>
      </c>
      <c r="S5" s="29">
        <v>21</v>
      </c>
      <c r="T5" s="29">
        <v>18</v>
      </c>
      <c r="U5" s="29">
        <v>83</v>
      </c>
      <c r="V5" s="29">
        <v>14</v>
      </c>
      <c r="W5" s="29">
        <v>13</v>
      </c>
      <c r="X5" s="29">
        <v>7</v>
      </c>
      <c r="Y5" s="29">
        <v>8</v>
      </c>
      <c r="Z5" s="29">
        <v>42</v>
      </c>
      <c r="AA5" s="29">
        <v>14</v>
      </c>
      <c r="AB5" s="29">
        <v>153</v>
      </c>
      <c r="AC5" s="29">
        <v>114</v>
      </c>
      <c r="AD5" s="29">
        <v>42</v>
      </c>
      <c r="AE5" s="29">
        <v>43</v>
      </c>
      <c r="AF5" s="29">
        <v>64</v>
      </c>
      <c r="AG5" s="29">
        <v>58</v>
      </c>
      <c r="AH5" s="29">
        <v>22</v>
      </c>
      <c r="AI5" s="29">
        <v>37</v>
      </c>
      <c r="AJ5" s="29">
        <v>58</v>
      </c>
      <c r="AK5" s="29">
        <v>13</v>
      </c>
      <c r="AL5" s="29">
        <v>18</v>
      </c>
      <c r="AM5" s="30"/>
      <c r="AN5" s="5">
        <f>SUM($C5:AM5)</f>
        <v>2060</v>
      </c>
      <c r="AO5" t="str">
        <f>" 男性（ n = "&amp;B5&amp;"）"</f>
        <v xml:space="preserve"> 男性（ n = 705）</v>
      </c>
    </row>
    <row r="6" spans="1:41" x14ac:dyDescent="0.2">
      <c r="A6" s="270"/>
      <c r="B6" s="35">
        <f>B5/$B$3*100</f>
        <v>43.626237623762378</v>
      </c>
      <c r="C6" s="20">
        <f t="shared" ref="C6:AL6" si="2">C5/$B$5*100</f>
        <v>34.042553191489361</v>
      </c>
      <c r="D6" s="207">
        <f t="shared" si="2"/>
        <v>13.900709219858157</v>
      </c>
      <c r="E6" s="207">
        <f t="shared" si="2"/>
        <v>4.2553191489361701</v>
      </c>
      <c r="F6" s="207">
        <f t="shared" si="2"/>
        <v>13.75886524822695</v>
      </c>
      <c r="G6" s="207">
        <f t="shared" si="2"/>
        <v>2.5531914893617018</v>
      </c>
      <c r="H6" s="207">
        <f t="shared" si="2"/>
        <v>18.297872340425531</v>
      </c>
      <c r="I6" s="207">
        <f t="shared" si="2"/>
        <v>8.2269503546099276</v>
      </c>
      <c r="J6" s="207">
        <f t="shared" si="2"/>
        <v>17.588652482269502</v>
      </c>
      <c r="K6" s="207">
        <f t="shared" si="2"/>
        <v>8.7943262411347511</v>
      </c>
      <c r="L6" s="207">
        <f t="shared" si="2"/>
        <v>5.9574468085106389</v>
      </c>
      <c r="M6" s="207">
        <f t="shared" si="2"/>
        <v>1.9858156028368796</v>
      </c>
      <c r="N6" s="207">
        <f t="shared" si="2"/>
        <v>17.446808510638299</v>
      </c>
      <c r="O6" s="207">
        <f t="shared" si="2"/>
        <v>6.8085106382978724</v>
      </c>
      <c r="P6" s="207">
        <f t="shared" si="2"/>
        <v>2.6950354609929077</v>
      </c>
      <c r="Q6" s="207">
        <f t="shared" si="2"/>
        <v>11.48936170212766</v>
      </c>
      <c r="R6" s="207">
        <f t="shared" si="2"/>
        <v>4.9645390070921991</v>
      </c>
      <c r="S6" s="207">
        <f t="shared" si="2"/>
        <v>2.9787234042553195</v>
      </c>
      <c r="T6" s="207">
        <f t="shared" si="2"/>
        <v>2.5531914893617018</v>
      </c>
      <c r="U6" s="207">
        <f t="shared" si="2"/>
        <v>11.773049645390071</v>
      </c>
      <c r="V6" s="207">
        <f t="shared" si="2"/>
        <v>1.9858156028368796</v>
      </c>
      <c r="W6" s="207">
        <f t="shared" si="2"/>
        <v>1.8439716312056738</v>
      </c>
      <c r="X6" s="207">
        <f t="shared" si="2"/>
        <v>0.99290780141843982</v>
      </c>
      <c r="Y6" s="207">
        <f t="shared" si="2"/>
        <v>1.1347517730496455</v>
      </c>
      <c r="Z6" s="207">
        <f t="shared" si="2"/>
        <v>5.9574468085106389</v>
      </c>
      <c r="AA6" s="207">
        <f t="shared" si="2"/>
        <v>1.9858156028368796</v>
      </c>
      <c r="AB6" s="207">
        <f t="shared" si="2"/>
        <v>21.702127659574469</v>
      </c>
      <c r="AC6" s="207">
        <f t="shared" si="2"/>
        <v>16.170212765957448</v>
      </c>
      <c r="AD6" s="207">
        <f t="shared" si="2"/>
        <v>5.9574468085106389</v>
      </c>
      <c r="AE6" s="207">
        <f t="shared" si="2"/>
        <v>6.0992907801418434</v>
      </c>
      <c r="AF6" s="207">
        <f t="shared" si="2"/>
        <v>9.0780141843971638</v>
      </c>
      <c r="AG6" s="207">
        <f t="shared" si="2"/>
        <v>8.2269503546099276</v>
      </c>
      <c r="AH6" s="207">
        <f t="shared" si="2"/>
        <v>3.1205673758865249</v>
      </c>
      <c r="AI6" s="207">
        <f t="shared" si="2"/>
        <v>5.24822695035461</v>
      </c>
      <c r="AJ6" s="207">
        <f t="shared" si="2"/>
        <v>8.2269503546099276</v>
      </c>
      <c r="AK6" s="207">
        <f t="shared" si="2"/>
        <v>1.8439716312056738</v>
      </c>
      <c r="AL6" s="207">
        <f t="shared" si="2"/>
        <v>2.5531914893617018</v>
      </c>
      <c r="AM6" s="208"/>
      <c r="AN6" s="195"/>
    </row>
    <row r="7" spans="1:41" ht="13.5" customHeight="1" x14ac:dyDescent="0.2">
      <c r="A7" s="269" t="str">
        <f>'問9S（表）'!A28</f>
        <v>女性(n = 901 )　　</v>
      </c>
      <c r="B7" s="34">
        <v>901</v>
      </c>
      <c r="C7" s="250">
        <v>211</v>
      </c>
      <c r="D7" s="249">
        <v>104</v>
      </c>
      <c r="E7" s="249">
        <v>24</v>
      </c>
      <c r="F7" s="249">
        <v>95</v>
      </c>
      <c r="G7" s="249">
        <v>10</v>
      </c>
      <c r="H7" s="249">
        <v>107</v>
      </c>
      <c r="I7" s="249">
        <v>69</v>
      </c>
      <c r="J7" s="249">
        <v>159</v>
      </c>
      <c r="K7" s="249">
        <v>116</v>
      </c>
      <c r="L7" s="249">
        <v>54</v>
      </c>
      <c r="M7" s="249">
        <v>9</v>
      </c>
      <c r="N7" s="249">
        <v>163</v>
      </c>
      <c r="O7" s="249">
        <v>52</v>
      </c>
      <c r="P7" s="249">
        <v>18</v>
      </c>
      <c r="Q7" s="249">
        <v>165</v>
      </c>
      <c r="R7" s="249">
        <v>36</v>
      </c>
      <c r="S7" s="249">
        <v>27</v>
      </c>
      <c r="T7" s="249">
        <v>17</v>
      </c>
      <c r="U7" s="249">
        <v>97</v>
      </c>
      <c r="V7" s="249">
        <v>24</v>
      </c>
      <c r="W7" s="249">
        <v>5</v>
      </c>
      <c r="X7" s="249">
        <v>5</v>
      </c>
      <c r="Y7" s="249">
        <v>15</v>
      </c>
      <c r="Z7" s="249">
        <v>34</v>
      </c>
      <c r="AA7" s="249">
        <v>7</v>
      </c>
      <c r="AB7" s="249">
        <v>143</v>
      </c>
      <c r="AC7" s="249">
        <v>99</v>
      </c>
      <c r="AD7" s="249">
        <v>33</v>
      </c>
      <c r="AE7" s="249">
        <v>48</v>
      </c>
      <c r="AF7" s="249">
        <v>72</v>
      </c>
      <c r="AG7" s="249">
        <v>76</v>
      </c>
      <c r="AH7" s="249">
        <v>42</v>
      </c>
      <c r="AI7" s="249">
        <v>56</v>
      </c>
      <c r="AJ7" s="249">
        <v>65</v>
      </c>
      <c r="AK7" s="249">
        <v>17</v>
      </c>
      <c r="AL7" s="249">
        <v>37</v>
      </c>
      <c r="AM7" s="30"/>
      <c r="AN7" s="5">
        <f>SUM($C7:AM7)</f>
        <v>2311</v>
      </c>
      <c r="AO7" t="str">
        <f>" 女性（ n = "&amp;B7&amp;"）"</f>
        <v xml:space="preserve"> 女性（ n = 901）</v>
      </c>
    </row>
    <row r="8" spans="1:41" x14ac:dyDescent="0.2">
      <c r="A8" s="270"/>
      <c r="B8" s="35">
        <f>B7/$B$3*100</f>
        <v>55.754950495049506</v>
      </c>
      <c r="C8" s="248">
        <f t="shared" ref="C8:AL8" si="3">C7/$B$7*100</f>
        <v>23.41842397336293</v>
      </c>
      <c r="D8" s="247">
        <f t="shared" si="3"/>
        <v>11.542730299667037</v>
      </c>
      <c r="E8" s="247">
        <f t="shared" si="3"/>
        <v>2.6637069922308543</v>
      </c>
      <c r="F8" s="247">
        <f t="shared" si="3"/>
        <v>10.543840177580465</v>
      </c>
      <c r="G8" s="247">
        <f t="shared" si="3"/>
        <v>1.1098779134295227</v>
      </c>
      <c r="H8" s="247">
        <f t="shared" si="3"/>
        <v>11.875693673695894</v>
      </c>
      <c r="I8" s="247">
        <f t="shared" si="3"/>
        <v>7.6581576026637066</v>
      </c>
      <c r="J8" s="247">
        <f t="shared" si="3"/>
        <v>17.647058823529413</v>
      </c>
      <c r="K8" s="247">
        <f t="shared" si="3"/>
        <v>12.874583795782463</v>
      </c>
      <c r="L8" s="247">
        <f t="shared" si="3"/>
        <v>5.9933407325194228</v>
      </c>
      <c r="M8" s="247">
        <f t="shared" si="3"/>
        <v>0.99889012208657058</v>
      </c>
      <c r="N8" s="247">
        <f t="shared" si="3"/>
        <v>18.09100998890122</v>
      </c>
      <c r="O8" s="247">
        <f t="shared" si="3"/>
        <v>5.7713651498335183</v>
      </c>
      <c r="P8" s="247">
        <f t="shared" si="3"/>
        <v>1.9977802441731412</v>
      </c>
      <c r="Q8" s="247">
        <f t="shared" si="3"/>
        <v>18.312985571587127</v>
      </c>
      <c r="R8" s="247">
        <f t="shared" si="3"/>
        <v>3.9955604883462823</v>
      </c>
      <c r="S8" s="247">
        <f t="shared" si="3"/>
        <v>2.9966703662597114</v>
      </c>
      <c r="T8" s="247">
        <f t="shared" si="3"/>
        <v>1.8867924528301887</v>
      </c>
      <c r="U8" s="247">
        <f t="shared" si="3"/>
        <v>10.765815760266371</v>
      </c>
      <c r="V8" s="247">
        <f t="shared" si="3"/>
        <v>2.6637069922308543</v>
      </c>
      <c r="W8" s="247">
        <f t="shared" si="3"/>
        <v>0.55493895671476134</v>
      </c>
      <c r="X8" s="247">
        <f t="shared" si="3"/>
        <v>0.55493895671476134</v>
      </c>
      <c r="Y8" s="247">
        <f t="shared" si="3"/>
        <v>1.6648168701442843</v>
      </c>
      <c r="Z8" s="247">
        <f t="shared" si="3"/>
        <v>3.7735849056603774</v>
      </c>
      <c r="AA8" s="247">
        <f t="shared" si="3"/>
        <v>0.77691453940066602</v>
      </c>
      <c r="AB8" s="247">
        <f t="shared" si="3"/>
        <v>15.871254162042176</v>
      </c>
      <c r="AC8" s="247">
        <f t="shared" si="3"/>
        <v>10.987791342952276</v>
      </c>
      <c r="AD8" s="247">
        <f t="shared" si="3"/>
        <v>3.6625971143174252</v>
      </c>
      <c r="AE8" s="247">
        <f t="shared" si="3"/>
        <v>5.3274139844617086</v>
      </c>
      <c r="AF8" s="247">
        <f t="shared" si="3"/>
        <v>7.9911209766925646</v>
      </c>
      <c r="AG8" s="247">
        <f t="shared" si="3"/>
        <v>8.4350721420643726</v>
      </c>
      <c r="AH8" s="247">
        <f t="shared" si="3"/>
        <v>4.6614872364039952</v>
      </c>
      <c r="AI8" s="247">
        <f t="shared" si="3"/>
        <v>6.2153163152053281</v>
      </c>
      <c r="AJ8" s="247">
        <f t="shared" si="3"/>
        <v>7.2142064372918977</v>
      </c>
      <c r="AK8" s="247">
        <f t="shared" si="3"/>
        <v>1.8867924528301887</v>
      </c>
      <c r="AL8" s="247">
        <f t="shared" si="3"/>
        <v>4.1065482796892345</v>
      </c>
      <c r="AM8" s="208"/>
      <c r="AN8" s="195"/>
    </row>
    <row r="9" spans="1:41" s="186" customFormat="1" x14ac:dyDescent="0.2">
      <c r="A9" s="184"/>
      <c r="B9" s="182"/>
      <c r="C9" s="182">
        <f t="shared" ref="C9:AL9" si="4">_xlfn.RANK.EQ(C4,$C$4:$AL$4,0)</f>
        <v>1</v>
      </c>
      <c r="D9" s="182">
        <f t="shared" si="4"/>
        <v>8</v>
      </c>
      <c r="E9" s="182">
        <f t="shared" si="4"/>
        <v>25</v>
      </c>
      <c r="F9" s="182">
        <f t="shared" si="4"/>
        <v>9</v>
      </c>
      <c r="G9" s="182">
        <f t="shared" si="4"/>
        <v>31</v>
      </c>
      <c r="H9" s="182">
        <f t="shared" si="4"/>
        <v>6</v>
      </c>
      <c r="I9" s="182">
        <f t="shared" si="4"/>
        <v>14</v>
      </c>
      <c r="J9" s="182">
        <f t="shared" si="4"/>
        <v>4</v>
      </c>
      <c r="K9" s="182">
        <f t="shared" si="4"/>
        <v>11</v>
      </c>
      <c r="L9" s="182">
        <f t="shared" si="4"/>
        <v>17</v>
      </c>
      <c r="M9" s="182">
        <f t="shared" si="4"/>
        <v>32</v>
      </c>
      <c r="N9" s="182">
        <f t="shared" si="4"/>
        <v>3</v>
      </c>
      <c r="O9" s="182">
        <f t="shared" si="4"/>
        <v>16</v>
      </c>
      <c r="P9" s="182">
        <f t="shared" si="4"/>
        <v>28</v>
      </c>
      <c r="Q9" s="182">
        <f t="shared" si="4"/>
        <v>5</v>
      </c>
      <c r="R9" s="182">
        <f t="shared" si="4"/>
        <v>22</v>
      </c>
      <c r="S9" s="182">
        <f t="shared" si="4"/>
        <v>26</v>
      </c>
      <c r="T9" s="182">
        <f t="shared" si="4"/>
        <v>29</v>
      </c>
      <c r="U9" s="182">
        <f t="shared" si="4"/>
        <v>10</v>
      </c>
      <c r="V9" s="182">
        <f t="shared" si="4"/>
        <v>27</v>
      </c>
      <c r="W9" s="182">
        <f t="shared" si="4"/>
        <v>35</v>
      </c>
      <c r="X9" s="182">
        <f t="shared" si="4"/>
        <v>36</v>
      </c>
      <c r="Y9" s="182">
        <f t="shared" si="4"/>
        <v>32</v>
      </c>
      <c r="Z9" s="182">
        <f t="shared" si="4"/>
        <v>20</v>
      </c>
      <c r="AA9" s="182">
        <f t="shared" si="4"/>
        <v>34</v>
      </c>
      <c r="AB9" s="182">
        <f t="shared" si="4"/>
        <v>2</v>
      </c>
      <c r="AC9" s="182">
        <f t="shared" si="4"/>
        <v>7</v>
      </c>
      <c r="AD9" s="182">
        <f t="shared" si="4"/>
        <v>21</v>
      </c>
      <c r="AE9" s="182">
        <f t="shared" si="4"/>
        <v>19</v>
      </c>
      <c r="AF9" s="182">
        <f t="shared" si="4"/>
        <v>12</v>
      </c>
      <c r="AG9" s="182">
        <f t="shared" si="4"/>
        <v>13</v>
      </c>
      <c r="AH9" s="182">
        <f t="shared" si="4"/>
        <v>23</v>
      </c>
      <c r="AI9" s="182">
        <f t="shared" si="4"/>
        <v>18</v>
      </c>
      <c r="AJ9" s="182">
        <f t="shared" si="4"/>
        <v>15</v>
      </c>
      <c r="AK9" s="182">
        <f t="shared" si="4"/>
        <v>30</v>
      </c>
      <c r="AL9" s="182">
        <f t="shared" si="4"/>
        <v>24</v>
      </c>
      <c r="AM9" s="182">
        <v>37</v>
      </c>
      <c r="AN9" s="182">
        <f>SUM(C9:AM9)</f>
        <v>702</v>
      </c>
    </row>
    <row r="10" spans="1:41" s="186" customFormat="1" x14ac:dyDescent="0.2">
      <c r="A10" s="26" t="s">
        <v>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</row>
    <row r="11" spans="1:41" x14ac:dyDescent="0.2">
      <c r="A11" s="6" t="s">
        <v>4</v>
      </c>
      <c r="B11" s="45"/>
      <c r="C11" s="246">
        <v>1</v>
      </c>
      <c r="D11" s="246">
        <v>2</v>
      </c>
      <c r="E11" s="246">
        <v>3</v>
      </c>
      <c r="F11" s="246">
        <v>4</v>
      </c>
      <c r="G11" s="246">
        <v>4</v>
      </c>
      <c r="H11" s="246">
        <v>6</v>
      </c>
      <c r="I11" s="246">
        <v>7</v>
      </c>
      <c r="J11" s="246">
        <v>8</v>
      </c>
      <c r="K11" s="246">
        <v>9</v>
      </c>
      <c r="L11" s="246">
        <v>10</v>
      </c>
      <c r="M11" s="246">
        <v>11</v>
      </c>
      <c r="N11" s="246">
        <v>12</v>
      </c>
      <c r="O11" s="246">
        <v>13</v>
      </c>
      <c r="P11" s="246">
        <v>14</v>
      </c>
      <c r="Q11" s="246">
        <v>15</v>
      </c>
      <c r="R11" s="246">
        <v>16</v>
      </c>
      <c r="S11" s="246">
        <v>16</v>
      </c>
      <c r="T11" s="246">
        <v>18</v>
      </c>
      <c r="U11" s="246">
        <v>19</v>
      </c>
      <c r="V11" s="246">
        <v>19</v>
      </c>
      <c r="W11" s="246">
        <v>21</v>
      </c>
      <c r="X11" s="246">
        <v>22</v>
      </c>
      <c r="Y11" s="246">
        <v>23</v>
      </c>
      <c r="Z11" s="246">
        <v>24</v>
      </c>
      <c r="AA11" s="246">
        <v>25</v>
      </c>
      <c r="AB11" s="246">
        <v>26</v>
      </c>
      <c r="AC11" s="246">
        <v>27</v>
      </c>
      <c r="AD11" s="246">
        <v>28</v>
      </c>
      <c r="AE11" s="246">
        <v>29</v>
      </c>
      <c r="AF11" s="246">
        <v>30</v>
      </c>
      <c r="AG11" s="246">
        <v>31</v>
      </c>
      <c r="AH11" s="246">
        <v>31</v>
      </c>
      <c r="AI11" s="246">
        <v>33</v>
      </c>
      <c r="AJ11" s="246">
        <v>34</v>
      </c>
      <c r="AK11" s="246">
        <v>35</v>
      </c>
      <c r="AL11" s="246">
        <v>36</v>
      </c>
      <c r="AM11" s="245">
        <v>37</v>
      </c>
    </row>
    <row r="12" spans="1:41" ht="64.8" x14ac:dyDescent="0.2">
      <c r="A12" s="12" t="s">
        <v>20</v>
      </c>
      <c r="B12" s="59" t="s">
        <v>3</v>
      </c>
      <c r="C12" s="60" t="s">
        <v>410</v>
      </c>
      <c r="D12" s="61" t="s">
        <v>409</v>
      </c>
      <c r="E12" s="61" t="s">
        <v>408</v>
      </c>
      <c r="F12" s="61" t="s">
        <v>407</v>
      </c>
      <c r="G12" s="61" t="s">
        <v>406</v>
      </c>
      <c r="H12" s="61" t="s">
        <v>405</v>
      </c>
      <c r="I12" s="61" t="s">
        <v>404</v>
      </c>
      <c r="J12" s="61" t="s">
        <v>403</v>
      </c>
      <c r="K12" s="61" t="s">
        <v>402</v>
      </c>
      <c r="L12" s="61" t="s">
        <v>401</v>
      </c>
      <c r="M12" s="61" t="s">
        <v>400</v>
      </c>
      <c r="N12" s="61" t="s">
        <v>399</v>
      </c>
      <c r="O12" s="61" t="s">
        <v>398</v>
      </c>
      <c r="P12" s="61" t="s">
        <v>397</v>
      </c>
      <c r="Q12" s="61" t="s">
        <v>396</v>
      </c>
      <c r="R12" s="62" t="s">
        <v>395</v>
      </c>
      <c r="S12" s="61" t="s">
        <v>394</v>
      </c>
      <c r="T12" s="105" t="s">
        <v>393</v>
      </c>
      <c r="U12" s="61" t="s">
        <v>392</v>
      </c>
      <c r="V12" s="61" t="s">
        <v>391</v>
      </c>
      <c r="W12" s="61" t="s">
        <v>390</v>
      </c>
      <c r="X12" s="61" t="s">
        <v>389</v>
      </c>
      <c r="Y12" s="61" t="s">
        <v>388</v>
      </c>
      <c r="Z12" s="61" t="s">
        <v>387</v>
      </c>
      <c r="AA12" s="61" t="s">
        <v>386</v>
      </c>
      <c r="AB12" s="61" t="s">
        <v>385</v>
      </c>
      <c r="AC12" s="61" t="s">
        <v>384</v>
      </c>
      <c r="AD12" s="61" t="s">
        <v>383</v>
      </c>
      <c r="AE12" s="61" t="s">
        <v>382</v>
      </c>
      <c r="AF12" s="61" t="s">
        <v>381</v>
      </c>
      <c r="AG12" s="61" t="s">
        <v>380</v>
      </c>
      <c r="AH12" s="61" t="s">
        <v>379</v>
      </c>
      <c r="AI12" s="61" t="s">
        <v>378</v>
      </c>
      <c r="AJ12" s="61" t="s">
        <v>377</v>
      </c>
      <c r="AK12" s="61" t="s">
        <v>376</v>
      </c>
      <c r="AL12" s="61" t="s">
        <v>375</v>
      </c>
      <c r="AM12" s="63"/>
      <c r="AN12" s="5" t="s">
        <v>118</v>
      </c>
    </row>
    <row r="13" spans="1:41" ht="13.5" customHeight="1" x14ac:dyDescent="0.2">
      <c r="A13" s="269" t="str">
        <f>A3</f>
        <v>全体(n = 1,616 )　　</v>
      </c>
      <c r="B13" s="113">
        <f>B3</f>
        <v>1616</v>
      </c>
      <c r="C13" s="121">
        <v>453</v>
      </c>
      <c r="D13" s="122">
        <v>296</v>
      </c>
      <c r="E13" s="122">
        <v>287</v>
      </c>
      <c r="F13" s="122">
        <v>284</v>
      </c>
      <c r="G13" s="122">
        <v>248</v>
      </c>
      <c r="H13" s="122">
        <v>237</v>
      </c>
      <c r="I13" s="122">
        <v>213</v>
      </c>
      <c r="J13" s="122">
        <v>203</v>
      </c>
      <c r="K13" s="122">
        <v>194</v>
      </c>
      <c r="L13" s="122">
        <v>180</v>
      </c>
      <c r="M13" s="122">
        <v>178</v>
      </c>
      <c r="N13" s="122">
        <v>136</v>
      </c>
      <c r="O13" s="122">
        <v>134</v>
      </c>
      <c r="P13" s="122">
        <v>127</v>
      </c>
      <c r="Q13" s="122">
        <v>123</v>
      </c>
      <c r="R13" s="123">
        <v>100</v>
      </c>
      <c r="S13" s="122">
        <v>97</v>
      </c>
      <c r="T13" s="122">
        <v>94</v>
      </c>
      <c r="U13" s="122">
        <v>91</v>
      </c>
      <c r="V13" s="154">
        <v>76</v>
      </c>
      <c r="W13" s="122">
        <v>75</v>
      </c>
      <c r="X13" s="122">
        <v>71</v>
      </c>
      <c r="Y13" s="122">
        <v>64</v>
      </c>
      <c r="Z13" s="122">
        <v>57</v>
      </c>
      <c r="AA13" s="122">
        <v>55</v>
      </c>
      <c r="AB13" s="122">
        <v>48</v>
      </c>
      <c r="AC13" s="122">
        <v>38</v>
      </c>
      <c r="AD13" s="122">
        <v>37</v>
      </c>
      <c r="AE13" s="122">
        <v>35</v>
      </c>
      <c r="AF13" s="122">
        <v>30</v>
      </c>
      <c r="AG13" s="122">
        <v>29</v>
      </c>
      <c r="AH13" s="122">
        <v>23</v>
      </c>
      <c r="AI13" s="122">
        <v>23</v>
      </c>
      <c r="AJ13" s="122">
        <v>21</v>
      </c>
      <c r="AK13" s="122">
        <v>18</v>
      </c>
      <c r="AL13" s="122">
        <v>12</v>
      </c>
      <c r="AM13" s="124"/>
      <c r="AN13" s="5">
        <f>SUM(C13:AM13)</f>
        <v>4387</v>
      </c>
    </row>
    <row r="14" spans="1:41" x14ac:dyDescent="0.2">
      <c r="A14" s="270"/>
      <c r="B14" s="114">
        <f>B4</f>
        <v>100</v>
      </c>
      <c r="C14" s="125">
        <v>28.032178217821784</v>
      </c>
      <c r="D14" s="126">
        <v>18.316831683168317</v>
      </c>
      <c r="E14" s="126">
        <v>17.759900990099009</v>
      </c>
      <c r="F14" s="126">
        <v>17.574257425742573</v>
      </c>
      <c r="G14" s="126">
        <v>15.346534653465346</v>
      </c>
      <c r="H14" s="126">
        <v>14.665841584158414</v>
      </c>
      <c r="I14" s="126">
        <v>13.180693069306932</v>
      </c>
      <c r="J14" s="126">
        <v>12.561881188118813</v>
      </c>
      <c r="K14" s="126">
        <v>12.004950495049505</v>
      </c>
      <c r="L14" s="126">
        <v>11.138613861386139</v>
      </c>
      <c r="M14" s="126">
        <v>11.014851485148515</v>
      </c>
      <c r="N14" s="126">
        <v>8.4158415841584162</v>
      </c>
      <c r="O14" s="126">
        <v>8.2920792079207928</v>
      </c>
      <c r="P14" s="126">
        <v>7.858910891089109</v>
      </c>
      <c r="Q14" s="126">
        <v>7.6113861386138613</v>
      </c>
      <c r="R14" s="127">
        <v>6.1881188118811883</v>
      </c>
      <c r="S14" s="126">
        <v>6.0024752475247523</v>
      </c>
      <c r="T14" s="126">
        <v>5.8168316831683171</v>
      </c>
      <c r="U14" s="126">
        <v>5.6311881188118811</v>
      </c>
      <c r="V14" s="142">
        <v>4.7029702970297027</v>
      </c>
      <c r="W14" s="126">
        <v>4.641089108910891</v>
      </c>
      <c r="X14" s="126">
        <v>4.3935643564356432</v>
      </c>
      <c r="Y14" s="126">
        <v>3.9603960396039604</v>
      </c>
      <c r="Z14" s="126">
        <v>3.527227722772277</v>
      </c>
      <c r="AA14" s="126">
        <v>3.4034653465346536</v>
      </c>
      <c r="AB14" s="126">
        <v>2.9702970297029703</v>
      </c>
      <c r="AC14" s="126">
        <v>2.3514851485148514</v>
      </c>
      <c r="AD14" s="126">
        <v>2.2896039603960396</v>
      </c>
      <c r="AE14" s="126">
        <v>2.1658415841584158</v>
      </c>
      <c r="AF14" s="126">
        <v>1.8564356435643563</v>
      </c>
      <c r="AG14" s="126">
        <v>1.7945544554455444</v>
      </c>
      <c r="AH14" s="126">
        <v>1.4232673267326734</v>
      </c>
      <c r="AI14" s="126">
        <v>1.4232673267326734</v>
      </c>
      <c r="AJ14" s="126">
        <v>1.2995049504950495</v>
      </c>
      <c r="AK14" s="126">
        <v>1.1138613861386137</v>
      </c>
      <c r="AL14" s="126">
        <v>0.74257425742574257</v>
      </c>
      <c r="AM14" s="128"/>
      <c r="AN14" s="195"/>
    </row>
    <row r="15" spans="1:41" ht="13.5" customHeight="1" x14ac:dyDescent="0.2">
      <c r="A15" s="269" t="str">
        <f>A5</f>
        <v>男性(n = 705 )　　</v>
      </c>
      <c r="B15" s="113">
        <f>B5</f>
        <v>705</v>
      </c>
      <c r="C15" s="121">
        <v>240</v>
      </c>
      <c r="D15" s="122">
        <v>153</v>
      </c>
      <c r="E15" s="122">
        <v>123</v>
      </c>
      <c r="F15" s="122">
        <v>124</v>
      </c>
      <c r="G15" s="122">
        <v>81</v>
      </c>
      <c r="H15" s="122">
        <v>129</v>
      </c>
      <c r="I15" s="122">
        <v>114</v>
      </c>
      <c r="J15" s="122">
        <v>98</v>
      </c>
      <c r="K15" s="122">
        <v>97</v>
      </c>
      <c r="L15" s="122">
        <v>83</v>
      </c>
      <c r="M15" s="122">
        <v>62</v>
      </c>
      <c r="N15" s="122">
        <v>64</v>
      </c>
      <c r="O15" s="122">
        <v>58</v>
      </c>
      <c r="P15" s="122">
        <v>58</v>
      </c>
      <c r="Q15" s="122">
        <v>58</v>
      </c>
      <c r="R15" s="123">
        <v>48</v>
      </c>
      <c r="S15" s="122">
        <v>42</v>
      </c>
      <c r="T15" s="122">
        <v>37</v>
      </c>
      <c r="U15" s="122">
        <v>43</v>
      </c>
      <c r="V15" s="154">
        <v>42</v>
      </c>
      <c r="W15" s="122">
        <v>42</v>
      </c>
      <c r="X15" s="122">
        <v>35</v>
      </c>
      <c r="Y15" s="122">
        <v>22</v>
      </c>
      <c r="Z15" s="122">
        <v>18</v>
      </c>
      <c r="AA15" s="122">
        <v>30</v>
      </c>
      <c r="AB15" s="122">
        <v>21</v>
      </c>
      <c r="AC15" s="122">
        <v>14</v>
      </c>
      <c r="AD15" s="122">
        <v>19</v>
      </c>
      <c r="AE15" s="122">
        <v>18</v>
      </c>
      <c r="AF15" s="122">
        <v>13</v>
      </c>
      <c r="AG15" s="122">
        <v>18</v>
      </c>
      <c r="AH15" s="122">
        <v>14</v>
      </c>
      <c r="AI15" s="122">
        <v>8</v>
      </c>
      <c r="AJ15" s="122">
        <v>14</v>
      </c>
      <c r="AK15" s="122">
        <v>13</v>
      </c>
      <c r="AL15" s="122">
        <v>7</v>
      </c>
      <c r="AM15" s="124"/>
      <c r="AN15" s="5">
        <f>SUM(C15:AM15)</f>
        <v>2060</v>
      </c>
    </row>
    <row r="16" spans="1:41" x14ac:dyDescent="0.2">
      <c r="A16" s="270"/>
      <c r="B16" s="114">
        <f>B6</f>
        <v>43.626237623762378</v>
      </c>
      <c r="C16" s="125">
        <v>34.042553191489361</v>
      </c>
      <c r="D16" s="126">
        <v>21.702127659574469</v>
      </c>
      <c r="E16" s="126">
        <v>17.446808510638299</v>
      </c>
      <c r="F16" s="126">
        <v>17.588652482269502</v>
      </c>
      <c r="G16" s="126">
        <v>11.48936170212766</v>
      </c>
      <c r="H16" s="126">
        <v>18.297872340425531</v>
      </c>
      <c r="I16" s="126">
        <v>16.170212765957448</v>
      </c>
      <c r="J16" s="126">
        <v>13.900709219858157</v>
      </c>
      <c r="K16" s="126">
        <v>13.75886524822695</v>
      </c>
      <c r="L16" s="126">
        <v>11.773049645390071</v>
      </c>
      <c r="M16" s="126">
        <v>8.7943262411347511</v>
      </c>
      <c r="N16" s="126">
        <v>9.0780141843971638</v>
      </c>
      <c r="O16" s="126">
        <v>8.2269503546099276</v>
      </c>
      <c r="P16" s="126">
        <v>8.2269503546099276</v>
      </c>
      <c r="Q16" s="126">
        <v>8.2269503546099276</v>
      </c>
      <c r="R16" s="127">
        <v>6.8085106382978724</v>
      </c>
      <c r="S16" s="126">
        <v>5.9574468085106389</v>
      </c>
      <c r="T16" s="126">
        <v>5.24822695035461</v>
      </c>
      <c r="U16" s="126">
        <v>6.0992907801418434</v>
      </c>
      <c r="V16" s="142">
        <v>5.9574468085106389</v>
      </c>
      <c r="W16" s="126">
        <v>5.9574468085106389</v>
      </c>
      <c r="X16" s="126">
        <v>4.9645390070921991</v>
      </c>
      <c r="Y16" s="126">
        <v>3.1205673758865249</v>
      </c>
      <c r="Z16" s="126">
        <v>2.5531914893617018</v>
      </c>
      <c r="AA16" s="126">
        <v>4.2553191489361701</v>
      </c>
      <c r="AB16" s="126">
        <v>2.9787234042553195</v>
      </c>
      <c r="AC16" s="126">
        <v>1.9858156028368796</v>
      </c>
      <c r="AD16" s="126">
        <v>2.6950354609929077</v>
      </c>
      <c r="AE16" s="126">
        <v>2.5531914893617018</v>
      </c>
      <c r="AF16" s="126">
        <v>1.8439716312056738</v>
      </c>
      <c r="AG16" s="126">
        <v>2.5531914893617018</v>
      </c>
      <c r="AH16" s="126">
        <v>1.9858156028368796</v>
      </c>
      <c r="AI16" s="126">
        <v>1.1347517730496455</v>
      </c>
      <c r="AJ16" s="126">
        <v>1.9858156028368796</v>
      </c>
      <c r="AK16" s="126">
        <v>1.8439716312056738</v>
      </c>
      <c r="AL16" s="126">
        <v>0.99290780141843982</v>
      </c>
      <c r="AM16" s="128"/>
      <c r="AN16" s="195"/>
    </row>
    <row r="17" spans="1:40" ht="13.5" customHeight="1" x14ac:dyDescent="0.2">
      <c r="A17" s="269" t="str">
        <f>A7</f>
        <v>女性(n = 901 )　　</v>
      </c>
      <c r="B17" s="113">
        <f>B7</f>
        <v>901</v>
      </c>
      <c r="C17" s="121">
        <v>211</v>
      </c>
      <c r="D17" s="122">
        <v>143</v>
      </c>
      <c r="E17" s="122">
        <v>163</v>
      </c>
      <c r="F17" s="122">
        <v>159</v>
      </c>
      <c r="G17" s="122">
        <v>165</v>
      </c>
      <c r="H17" s="122">
        <v>107</v>
      </c>
      <c r="I17" s="122">
        <v>99</v>
      </c>
      <c r="J17" s="122">
        <v>104</v>
      </c>
      <c r="K17" s="122">
        <v>95</v>
      </c>
      <c r="L17" s="122">
        <v>97</v>
      </c>
      <c r="M17" s="122">
        <v>116</v>
      </c>
      <c r="N17" s="122">
        <v>72</v>
      </c>
      <c r="O17" s="122">
        <v>76</v>
      </c>
      <c r="P17" s="122">
        <v>69</v>
      </c>
      <c r="Q17" s="122">
        <v>65</v>
      </c>
      <c r="R17" s="123">
        <v>52</v>
      </c>
      <c r="S17" s="122">
        <v>54</v>
      </c>
      <c r="T17" s="122">
        <v>56</v>
      </c>
      <c r="U17" s="122">
        <v>48</v>
      </c>
      <c r="V17" s="154">
        <v>34</v>
      </c>
      <c r="W17" s="122">
        <v>33</v>
      </c>
      <c r="X17" s="122">
        <v>36</v>
      </c>
      <c r="Y17" s="122">
        <v>42</v>
      </c>
      <c r="Z17" s="122">
        <v>37</v>
      </c>
      <c r="AA17" s="122">
        <v>24</v>
      </c>
      <c r="AB17" s="122">
        <v>27</v>
      </c>
      <c r="AC17" s="122">
        <v>24</v>
      </c>
      <c r="AD17" s="122">
        <v>18</v>
      </c>
      <c r="AE17" s="122">
        <v>17</v>
      </c>
      <c r="AF17" s="122">
        <v>17</v>
      </c>
      <c r="AG17" s="122">
        <v>10</v>
      </c>
      <c r="AH17" s="122">
        <v>9</v>
      </c>
      <c r="AI17" s="122">
        <v>15</v>
      </c>
      <c r="AJ17" s="122">
        <v>7</v>
      </c>
      <c r="AK17" s="122">
        <v>5</v>
      </c>
      <c r="AL17" s="122">
        <v>5</v>
      </c>
      <c r="AM17" s="124"/>
      <c r="AN17" s="5">
        <f>SUM(C17:AM17)</f>
        <v>2311</v>
      </c>
    </row>
    <row r="18" spans="1:40" x14ac:dyDescent="0.2">
      <c r="A18" s="270"/>
      <c r="B18" s="114">
        <f>B8</f>
        <v>55.754950495049506</v>
      </c>
      <c r="C18" s="125">
        <v>23.41842397336293</v>
      </c>
      <c r="D18" s="126">
        <v>15.871254162042176</v>
      </c>
      <c r="E18" s="126">
        <v>18.09100998890122</v>
      </c>
      <c r="F18" s="126">
        <v>17.647058823529413</v>
      </c>
      <c r="G18" s="126">
        <v>18.312985571587127</v>
      </c>
      <c r="H18" s="126">
        <v>11.875693673695894</v>
      </c>
      <c r="I18" s="126">
        <v>10.987791342952276</v>
      </c>
      <c r="J18" s="126">
        <v>11.542730299667037</v>
      </c>
      <c r="K18" s="126">
        <v>10.543840177580465</v>
      </c>
      <c r="L18" s="126">
        <v>10.765815760266371</v>
      </c>
      <c r="M18" s="126">
        <v>12.874583795782463</v>
      </c>
      <c r="N18" s="126">
        <v>7.9911209766925646</v>
      </c>
      <c r="O18" s="126">
        <v>8.4350721420643726</v>
      </c>
      <c r="P18" s="126">
        <v>7.6581576026637066</v>
      </c>
      <c r="Q18" s="126">
        <v>7.2142064372918977</v>
      </c>
      <c r="R18" s="127">
        <v>5.7713651498335183</v>
      </c>
      <c r="S18" s="126">
        <v>5.9933407325194228</v>
      </c>
      <c r="T18" s="126">
        <v>6.2153163152053281</v>
      </c>
      <c r="U18" s="126">
        <v>5.3274139844617086</v>
      </c>
      <c r="V18" s="142">
        <v>3.7735849056603774</v>
      </c>
      <c r="W18" s="126">
        <v>3.6625971143174252</v>
      </c>
      <c r="X18" s="126">
        <v>3.9955604883462823</v>
      </c>
      <c r="Y18" s="126">
        <v>4.6614872364039952</v>
      </c>
      <c r="Z18" s="126">
        <v>4.1065482796892345</v>
      </c>
      <c r="AA18" s="126">
        <v>2.6637069922308543</v>
      </c>
      <c r="AB18" s="126">
        <v>2.9966703662597114</v>
      </c>
      <c r="AC18" s="126">
        <v>2.6637069922308543</v>
      </c>
      <c r="AD18" s="126">
        <v>1.9977802441731412</v>
      </c>
      <c r="AE18" s="126">
        <v>1.8867924528301887</v>
      </c>
      <c r="AF18" s="126">
        <v>1.8867924528301887</v>
      </c>
      <c r="AG18" s="126">
        <v>1.1098779134295227</v>
      </c>
      <c r="AH18" s="126">
        <v>0.99889012208657058</v>
      </c>
      <c r="AI18" s="126">
        <v>1.6648168701442843</v>
      </c>
      <c r="AJ18" s="126">
        <v>0.77691453940066602</v>
      </c>
      <c r="AK18" s="126">
        <v>0.55493895671476134</v>
      </c>
      <c r="AL18" s="126">
        <v>0.55493895671476134</v>
      </c>
      <c r="AM18" s="128"/>
      <c r="AN18" s="195"/>
    </row>
    <row r="19" spans="1:40" s="186" customFormat="1" x14ac:dyDescent="0.2">
      <c r="A19" s="184"/>
      <c r="B19" s="182"/>
      <c r="C19" s="182">
        <v>1</v>
      </c>
      <c r="D19" s="182">
        <v>2</v>
      </c>
      <c r="E19" s="182">
        <v>3</v>
      </c>
      <c r="F19" s="182">
        <v>4</v>
      </c>
      <c r="G19" s="182">
        <v>5</v>
      </c>
      <c r="H19" s="182">
        <v>6</v>
      </c>
      <c r="I19" s="182">
        <v>7</v>
      </c>
      <c r="J19" s="182">
        <v>8</v>
      </c>
      <c r="K19" s="182">
        <v>9</v>
      </c>
      <c r="L19" s="182">
        <v>10</v>
      </c>
      <c r="M19" s="182">
        <v>11</v>
      </c>
      <c r="N19" s="182">
        <v>12</v>
      </c>
      <c r="O19" s="182">
        <v>13</v>
      </c>
      <c r="P19" s="182">
        <v>14</v>
      </c>
      <c r="Q19" s="182">
        <v>15</v>
      </c>
      <c r="R19" s="182">
        <v>16</v>
      </c>
      <c r="S19" s="182">
        <v>17</v>
      </c>
      <c r="T19" s="182">
        <v>18</v>
      </c>
      <c r="U19" s="182">
        <v>19</v>
      </c>
      <c r="V19" s="182">
        <v>20</v>
      </c>
      <c r="W19" s="182">
        <v>21</v>
      </c>
      <c r="X19" s="182">
        <v>22</v>
      </c>
      <c r="Y19" s="182">
        <v>23</v>
      </c>
      <c r="Z19" s="182">
        <v>24</v>
      </c>
      <c r="AA19" s="182">
        <v>25</v>
      </c>
      <c r="AB19" s="182">
        <v>26</v>
      </c>
      <c r="AC19" s="182">
        <v>27</v>
      </c>
      <c r="AD19" s="182">
        <v>28</v>
      </c>
      <c r="AE19" s="182">
        <v>29</v>
      </c>
      <c r="AF19" s="182">
        <v>30</v>
      </c>
      <c r="AG19" s="182">
        <v>31</v>
      </c>
      <c r="AH19" s="182">
        <v>32</v>
      </c>
      <c r="AI19" s="182">
        <v>32</v>
      </c>
      <c r="AJ19" s="185">
        <v>34</v>
      </c>
      <c r="AK19" s="185">
        <v>35</v>
      </c>
      <c r="AL19" s="185">
        <v>36</v>
      </c>
      <c r="AM19" s="185">
        <v>37</v>
      </c>
      <c r="AN19" s="182"/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370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M21" s="27">
        <v>10</v>
      </c>
      <c r="P21" s="172">
        <v>1</v>
      </c>
      <c r="Q21" s="172">
        <v>2</v>
      </c>
      <c r="R21" s="172">
        <v>3</v>
      </c>
      <c r="S21" s="172">
        <v>4</v>
      </c>
      <c r="T21" s="172">
        <v>5</v>
      </c>
      <c r="U21" s="172">
        <v>6</v>
      </c>
      <c r="V21" s="172">
        <v>7</v>
      </c>
      <c r="W21" s="172">
        <v>8</v>
      </c>
      <c r="X21" s="172">
        <v>9</v>
      </c>
      <c r="Y21" s="172">
        <v>10</v>
      </c>
    </row>
    <row r="22" spans="1:40" ht="32.4" x14ac:dyDescent="0.2">
      <c r="A22" s="12" t="str">
        <f>A2</f>
        <v>【性別】</v>
      </c>
      <c r="B22" s="59" t="str">
        <f>B2</f>
        <v>調査数</v>
      </c>
      <c r="C22" s="60" t="str">
        <f t="shared" ref="C22:L22" si="5">C12</f>
        <v>防災対策</v>
      </c>
      <c r="D22" s="61" t="str">
        <f t="shared" si="5"/>
        <v>道路整備・維持管理</v>
      </c>
      <c r="E22" s="61" t="str">
        <f t="shared" si="5"/>
        <v>高齢者福祉</v>
      </c>
      <c r="F22" s="61" t="str">
        <f t="shared" si="5"/>
        <v>地域医療の確保</v>
      </c>
      <c r="G22" s="61" t="str">
        <f t="shared" si="5"/>
        <v>子育て支援</v>
      </c>
      <c r="H22" s="61" t="str">
        <f t="shared" si="5"/>
        <v>防犯・交通安全対策</v>
      </c>
      <c r="I22" s="61" t="str">
        <f t="shared" si="5"/>
        <v>河川整備・維持管理</v>
      </c>
      <c r="J22" s="61" t="str">
        <f t="shared" si="5"/>
        <v>自然環境保全</v>
      </c>
      <c r="K22" s="61" t="str">
        <f t="shared" si="5"/>
        <v>廃棄物対策</v>
      </c>
      <c r="L22" s="63" t="str">
        <f t="shared" si="5"/>
        <v>観光振興</v>
      </c>
      <c r="M22" s="63"/>
      <c r="N22" s="44" t="s">
        <v>32</v>
      </c>
      <c r="O22" s="12" t="str">
        <f>A22</f>
        <v>【性別】</v>
      </c>
      <c r="P22" s="60" t="str">
        <f t="shared" ref="P22:Y22" si="6">C22</f>
        <v>防災対策</v>
      </c>
      <c r="Q22" s="61" t="str">
        <f t="shared" si="6"/>
        <v>道路整備・維持管理</v>
      </c>
      <c r="R22" s="61" t="str">
        <f t="shared" si="6"/>
        <v>高齢者福祉</v>
      </c>
      <c r="S22" s="61" t="str">
        <f t="shared" si="6"/>
        <v>地域医療の確保</v>
      </c>
      <c r="T22" s="61" t="str">
        <f t="shared" si="6"/>
        <v>子育て支援</v>
      </c>
      <c r="U22" s="61" t="str">
        <f t="shared" si="6"/>
        <v>防犯・交通安全対策</v>
      </c>
      <c r="V22" s="61" t="str">
        <f t="shared" si="6"/>
        <v>河川整備・維持管理</v>
      </c>
      <c r="W22" s="61" t="str">
        <f t="shared" si="6"/>
        <v>自然環境保全</v>
      </c>
      <c r="X22" s="62" t="str">
        <f t="shared" si="6"/>
        <v>廃棄物対策</v>
      </c>
      <c r="Y22" s="63" t="str">
        <f t="shared" si="6"/>
        <v>観光振興</v>
      </c>
    </row>
    <row r="23" spans="1:40" ht="12.75" customHeight="1" x14ac:dyDescent="0.2">
      <c r="A23" s="269" t="str">
        <f>A13</f>
        <v>全体(n = 1,616 )　　</v>
      </c>
      <c r="B23" s="113">
        <f t="shared" ref="B23:B28" si="7">B3</f>
        <v>1616</v>
      </c>
      <c r="C23" s="121">
        <f t="shared" ref="C23:L23" si="8">C13</f>
        <v>453</v>
      </c>
      <c r="D23" s="122">
        <f t="shared" si="8"/>
        <v>296</v>
      </c>
      <c r="E23" s="122">
        <f t="shared" si="8"/>
        <v>287</v>
      </c>
      <c r="F23" s="122">
        <f t="shared" si="8"/>
        <v>284</v>
      </c>
      <c r="G23" s="122">
        <f t="shared" si="8"/>
        <v>248</v>
      </c>
      <c r="H23" s="122">
        <f t="shared" si="8"/>
        <v>237</v>
      </c>
      <c r="I23" s="122">
        <f t="shared" si="8"/>
        <v>213</v>
      </c>
      <c r="J23" s="122">
        <f t="shared" si="8"/>
        <v>203</v>
      </c>
      <c r="K23" s="122">
        <f t="shared" si="8"/>
        <v>194</v>
      </c>
      <c r="L23" s="124">
        <f t="shared" si="8"/>
        <v>180</v>
      </c>
      <c r="M23" s="124"/>
      <c r="O23" s="93" t="str">
        <f>A25</f>
        <v>男性(n = 705 )　　</v>
      </c>
      <c r="P23" s="74">
        <f t="shared" ref="P23:Y23" si="9">C26</f>
        <v>34.042553191489361</v>
      </c>
      <c r="Q23" s="75">
        <f t="shared" si="9"/>
        <v>21.702127659574469</v>
      </c>
      <c r="R23" s="75">
        <f t="shared" si="9"/>
        <v>17.446808510638299</v>
      </c>
      <c r="S23" s="75">
        <f t="shared" si="9"/>
        <v>17.588652482269502</v>
      </c>
      <c r="T23" s="75">
        <f t="shared" si="9"/>
        <v>11.48936170212766</v>
      </c>
      <c r="U23" s="75">
        <f t="shared" si="9"/>
        <v>18.297872340425531</v>
      </c>
      <c r="V23" s="75">
        <f t="shared" si="9"/>
        <v>16.170212765957448</v>
      </c>
      <c r="W23" s="75">
        <f t="shared" si="9"/>
        <v>13.900709219858157</v>
      </c>
      <c r="X23" s="76">
        <f t="shared" si="9"/>
        <v>13.75886524822695</v>
      </c>
      <c r="Y23" s="77">
        <f t="shared" si="9"/>
        <v>11.773049645390071</v>
      </c>
    </row>
    <row r="24" spans="1:40" ht="12.75" customHeight="1" x14ac:dyDescent="0.2">
      <c r="A24" s="270"/>
      <c r="B24" s="114">
        <f t="shared" si="7"/>
        <v>100</v>
      </c>
      <c r="C24" s="125">
        <f t="shared" ref="C24:L24" si="10">C14</f>
        <v>28.032178217821784</v>
      </c>
      <c r="D24" s="126">
        <f t="shared" si="10"/>
        <v>18.316831683168317</v>
      </c>
      <c r="E24" s="126">
        <f t="shared" si="10"/>
        <v>17.759900990099009</v>
      </c>
      <c r="F24" s="126">
        <f t="shared" si="10"/>
        <v>17.574257425742573</v>
      </c>
      <c r="G24" s="126">
        <f t="shared" si="10"/>
        <v>15.346534653465346</v>
      </c>
      <c r="H24" s="126">
        <f t="shared" si="10"/>
        <v>14.665841584158414</v>
      </c>
      <c r="I24" s="126">
        <f t="shared" si="10"/>
        <v>13.180693069306932</v>
      </c>
      <c r="J24" s="126">
        <f t="shared" si="10"/>
        <v>12.561881188118813</v>
      </c>
      <c r="K24" s="126">
        <f t="shared" si="10"/>
        <v>12.004950495049505</v>
      </c>
      <c r="L24" s="128">
        <f t="shared" si="10"/>
        <v>11.138613861386139</v>
      </c>
      <c r="M24" s="128"/>
      <c r="O24" s="94" t="str">
        <f>A27</f>
        <v>女性(n = 901 )　　</v>
      </c>
      <c r="P24" s="78">
        <f t="shared" ref="P24:Y24" si="11">C28</f>
        <v>23.41842397336293</v>
      </c>
      <c r="Q24" s="79">
        <f t="shared" si="11"/>
        <v>15.871254162042176</v>
      </c>
      <c r="R24" s="79">
        <f t="shared" si="11"/>
        <v>18.09100998890122</v>
      </c>
      <c r="S24" s="79">
        <f t="shared" si="11"/>
        <v>17.647058823529413</v>
      </c>
      <c r="T24" s="79">
        <f t="shared" si="11"/>
        <v>18.312985571587127</v>
      </c>
      <c r="U24" s="79">
        <f t="shared" si="11"/>
        <v>11.875693673695894</v>
      </c>
      <c r="V24" s="79">
        <f t="shared" si="11"/>
        <v>10.987791342952276</v>
      </c>
      <c r="W24" s="79">
        <f t="shared" si="11"/>
        <v>11.542730299667037</v>
      </c>
      <c r="X24" s="80">
        <f t="shared" si="11"/>
        <v>10.543840177580465</v>
      </c>
      <c r="Y24" s="81">
        <f t="shared" si="11"/>
        <v>10.765815760266371</v>
      </c>
    </row>
    <row r="25" spans="1:40" x14ac:dyDescent="0.2">
      <c r="A25" s="269" t="str">
        <f>A15</f>
        <v>男性(n = 705 )　　</v>
      </c>
      <c r="B25" s="113">
        <f t="shared" si="7"/>
        <v>705</v>
      </c>
      <c r="C25" s="129">
        <f t="shared" ref="C25:L25" si="12">C15</f>
        <v>240</v>
      </c>
      <c r="D25" s="130">
        <f t="shared" si="12"/>
        <v>153</v>
      </c>
      <c r="E25" s="130">
        <f t="shared" si="12"/>
        <v>123</v>
      </c>
      <c r="F25" s="130">
        <f t="shared" si="12"/>
        <v>124</v>
      </c>
      <c r="G25" s="130">
        <f t="shared" si="12"/>
        <v>81</v>
      </c>
      <c r="H25" s="130">
        <f t="shared" si="12"/>
        <v>129</v>
      </c>
      <c r="I25" s="130">
        <f t="shared" si="12"/>
        <v>114</v>
      </c>
      <c r="J25" s="130">
        <f t="shared" si="12"/>
        <v>98</v>
      </c>
      <c r="K25" s="130">
        <f t="shared" si="12"/>
        <v>97</v>
      </c>
      <c r="L25" s="131">
        <f t="shared" si="12"/>
        <v>83</v>
      </c>
      <c r="M25" s="131"/>
      <c r="P25" s="25">
        <f t="shared" ref="P25:Y25" si="13">P23-P24</f>
        <v>10.624129218126431</v>
      </c>
      <c r="Q25" s="25">
        <f t="shared" si="13"/>
        <v>5.8308734975322931</v>
      </c>
      <c r="R25" s="25">
        <f t="shared" si="13"/>
        <v>-0.64420147826292151</v>
      </c>
      <c r="S25" s="25">
        <f t="shared" si="13"/>
        <v>-5.8406341259910732E-2</v>
      </c>
      <c r="T25" s="25">
        <f t="shared" si="13"/>
        <v>-6.8236238694594675</v>
      </c>
      <c r="U25" s="25">
        <f t="shared" si="13"/>
        <v>6.4221786667296374</v>
      </c>
      <c r="V25" s="25">
        <f t="shared" si="13"/>
        <v>5.1824214230051719</v>
      </c>
      <c r="W25" s="25">
        <f t="shared" si="13"/>
        <v>2.3579789201911208</v>
      </c>
      <c r="X25" s="25">
        <f t="shared" si="13"/>
        <v>3.2150250706464849</v>
      </c>
      <c r="Y25" s="25">
        <f t="shared" si="13"/>
        <v>1.0072338851236999</v>
      </c>
    </row>
    <row r="26" spans="1:40" x14ac:dyDescent="0.2">
      <c r="A26" s="270"/>
      <c r="B26" s="114">
        <f t="shared" si="7"/>
        <v>43.626237623762378</v>
      </c>
      <c r="C26" s="125">
        <f t="shared" ref="C26:L26" si="14">C16</f>
        <v>34.042553191489361</v>
      </c>
      <c r="D26" s="126">
        <f t="shared" si="14"/>
        <v>21.702127659574469</v>
      </c>
      <c r="E26" s="126">
        <f t="shared" si="14"/>
        <v>17.446808510638299</v>
      </c>
      <c r="F26" s="126">
        <f t="shared" si="14"/>
        <v>17.588652482269502</v>
      </c>
      <c r="G26" s="126">
        <f t="shared" si="14"/>
        <v>11.48936170212766</v>
      </c>
      <c r="H26" s="126">
        <f t="shared" si="14"/>
        <v>18.297872340425531</v>
      </c>
      <c r="I26" s="126">
        <f t="shared" si="14"/>
        <v>16.170212765957448</v>
      </c>
      <c r="J26" s="126">
        <f t="shared" si="14"/>
        <v>13.900709219858157</v>
      </c>
      <c r="K26" s="126">
        <f t="shared" si="14"/>
        <v>13.75886524822695</v>
      </c>
      <c r="L26" s="128">
        <f t="shared" si="14"/>
        <v>11.773049645390071</v>
      </c>
      <c r="M26" s="128"/>
    </row>
    <row r="27" spans="1:40" x14ac:dyDescent="0.2">
      <c r="A27" s="269" t="str">
        <f>A17</f>
        <v>女性(n = 901 )　　</v>
      </c>
      <c r="B27" s="113">
        <f t="shared" si="7"/>
        <v>901</v>
      </c>
      <c r="C27" s="129">
        <f t="shared" ref="C27:L27" si="15">C17</f>
        <v>211</v>
      </c>
      <c r="D27" s="130">
        <f t="shared" si="15"/>
        <v>143</v>
      </c>
      <c r="E27" s="130">
        <f t="shared" si="15"/>
        <v>163</v>
      </c>
      <c r="F27" s="130">
        <f t="shared" si="15"/>
        <v>159</v>
      </c>
      <c r="G27" s="130">
        <f t="shared" si="15"/>
        <v>165</v>
      </c>
      <c r="H27" s="130">
        <f t="shared" si="15"/>
        <v>107</v>
      </c>
      <c r="I27" s="130">
        <f t="shared" si="15"/>
        <v>99</v>
      </c>
      <c r="J27" s="130">
        <f t="shared" si="15"/>
        <v>104</v>
      </c>
      <c r="K27" s="130">
        <f t="shared" si="15"/>
        <v>95</v>
      </c>
      <c r="L27" s="131">
        <f t="shared" si="15"/>
        <v>97</v>
      </c>
      <c r="M27" s="131"/>
    </row>
    <row r="28" spans="1:40" x14ac:dyDescent="0.2">
      <c r="A28" s="270"/>
      <c r="B28" s="114">
        <f t="shared" si="7"/>
        <v>55.754950495049506</v>
      </c>
      <c r="C28" s="125">
        <f t="shared" ref="C28:L28" si="16">C18</f>
        <v>23.41842397336293</v>
      </c>
      <c r="D28" s="126">
        <f t="shared" si="16"/>
        <v>15.871254162042176</v>
      </c>
      <c r="E28" s="126">
        <f t="shared" si="16"/>
        <v>18.09100998890122</v>
      </c>
      <c r="F28" s="126">
        <f t="shared" si="16"/>
        <v>17.647058823529413</v>
      </c>
      <c r="G28" s="126">
        <f t="shared" si="16"/>
        <v>18.312985571587127</v>
      </c>
      <c r="H28" s="126">
        <f t="shared" si="16"/>
        <v>11.875693673695894</v>
      </c>
      <c r="I28" s="126">
        <f t="shared" si="16"/>
        <v>10.987791342952276</v>
      </c>
      <c r="J28" s="126">
        <f t="shared" si="16"/>
        <v>11.542730299667037</v>
      </c>
      <c r="K28" s="126">
        <f t="shared" si="16"/>
        <v>10.543840177580465</v>
      </c>
      <c r="L28" s="128">
        <f t="shared" si="16"/>
        <v>10.765815760266371</v>
      </c>
      <c r="M28" s="128"/>
    </row>
    <row r="30" spans="1:40" x14ac:dyDescent="0.2">
      <c r="A30" s="3" t="s">
        <v>374</v>
      </c>
      <c r="B30" s="1" t="str">
        <f>B1</f>
        <v>県の取り組みでよくやっていると思う分野</v>
      </c>
      <c r="C30" s="8"/>
      <c r="D30" s="9"/>
      <c r="E30" s="8"/>
      <c r="F30" s="9"/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</row>
    <row r="31" spans="1:40" ht="33.75" customHeight="1" x14ac:dyDescent="0.2">
      <c r="A31" s="12" t="s">
        <v>59</v>
      </c>
      <c r="B31" s="59" t="str">
        <f>B2</f>
        <v>調査数</v>
      </c>
      <c r="C31" s="60" t="str">
        <f t="shared" ref="C31:AL31" si="17">C2</f>
        <v>防災対策</v>
      </c>
      <c r="D31" s="61" t="str">
        <f t="shared" si="17"/>
        <v>自然環境保全</v>
      </c>
      <c r="E31" s="61" t="str">
        <f t="shared" si="17"/>
        <v>住環境保全</v>
      </c>
      <c r="F31" s="61" t="str">
        <f t="shared" si="17"/>
        <v>廃棄物対策</v>
      </c>
      <c r="G31" s="61" t="str">
        <f t="shared" si="17"/>
        <v>消費者保護</v>
      </c>
      <c r="H31" s="61" t="str">
        <f t="shared" si="17"/>
        <v>防犯・交通安全対策</v>
      </c>
      <c r="I31" s="61" t="str">
        <f t="shared" si="17"/>
        <v>地域コミュニティの活性化</v>
      </c>
      <c r="J31" s="61" t="str">
        <f t="shared" si="17"/>
        <v>地域医療の確保</v>
      </c>
      <c r="K31" s="61" t="str">
        <f t="shared" si="17"/>
        <v>健康増進</v>
      </c>
      <c r="L31" s="61" t="str">
        <f t="shared" si="17"/>
        <v>食品の安全対策</v>
      </c>
      <c r="M31" s="61" t="str">
        <f t="shared" si="17"/>
        <v>薬物対策</v>
      </c>
      <c r="N31" s="61" t="str">
        <f t="shared" si="17"/>
        <v>高齢者福祉</v>
      </c>
      <c r="O31" s="61" t="str">
        <f t="shared" si="17"/>
        <v>障がい者福祉</v>
      </c>
      <c r="P31" s="61" t="str">
        <f t="shared" si="17"/>
        <v>少子化対策</v>
      </c>
      <c r="Q31" s="61" t="str">
        <f t="shared" si="17"/>
        <v>子育て支援</v>
      </c>
      <c r="R31" s="61" t="str">
        <f t="shared" si="17"/>
        <v>中小企業支援</v>
      </c>
      <c r="S31" s="61" t="str">
        <f t="shared" si="17"/>
        <v>企業誘致</v>
      </c>
      <c r="T31" s="61" t="str">
        <f t="shared" si="17"/>
        <v>成長産業分野の振興</v>
      </c>
      <c r="U31" s="61" t="str">
        <f t="shared" si="17"/>
        <v>観光振興</v>
      </c>
      <c r="V31" s="105" t="str">
        <f t="shared" si="17"/>
        <v>就労支援</v>
      </c>
      <c r="W31" s="61" t="str">
        <f t="shared" si="17"/>
        <v>労働環境改善</v>
      </c>
      <c r="X31" s="61" t="str">
        <f t="shared" si="17"/>
        <v>様々な産業を担う人材の育成</v>
      </c>
      <c r="Y31" s="61" t="str">
        <f t="shared" si="17"/>
        <v>女性の活躍推進</v>
      </c>
      <c r="Z31" s="61" t="str">
        <f t="shared" si="17"/>
        <v>農業等振興</v>
      </c>
      <c r="AA31" s="61" t="str">
        <f t="shared" si="17"/>
        <v>林業振興</v>
      </c>
      <c r="AB31" s="61" t="str">
        <f t="shared" si="17"/>
        <v>道路整備・維持管理</v>
      </c>
      <c r="AC31" s="61" t="str">
        <f t="shared" si="17"/>
        <v>河川整備・維持管理</v>
      </c>
      <c r="AD31" s="61" t="str">
        <f t="shared" si="17"/>
        <v>砂防対策</v>
      </c>
      <c r="AE31" s="61" t="str">
        <f t="shared" si="17"/>
        <v>公共交通の充実</v>
      </c>
      <c r="AF31" s="61" t="str">
        <f t="shared" si="17"/>
        <v>公園整備</v>
      </c>
      <c r="AG31" s="61" t="str">
        <f t="shared" si="17"/>
        <v>学校教育の充実</v>
      </c>
      <c r="AH31" s="61" t="str">
        <f t="shared" si="17"/>
        <v>社会教育・生涯学習の充実</v>
      </c>
      <c r="AI31" s="61" t="str">
        <f t="shared" si="17"/>
        <v>文化・芸術の振興</v>
      </c>
      <c r="AJ31" s="61" t="str">
        <f t="shared" si="17"/>
        <v>スポーツやレクリエーション
                        の推進</v>
      </c>
      <c r="AK31" s="61" t="str">
        <f t="shared" si="17"/>
        <v>若者の県内定着</v>
      </c>
      <c r="AL31" s="61" t="str">
        <f t="shared" si="17"/>
        <v>県外からの移住・定住の推進</v>
      </c>
      <c r="AM31" s="63"/>
      <c r="AN31" s="5" t="s">
        <v>118</v>
      </c>
    </row>
    <row r="32" spans="1:40" x14ac:dyDescent="0.2">
      <c r="A32" s="269" t="str">
        <f>'問9S（表）'!A34</f>
        <v>全体(n = 1,616 )　　</v>
      </c>
      <c r="B32" s="227" t="str">
        <f>'問9S（表）'!B34</f>
        <v>1,616</v>
      </c>
      <c r="C32" s="31">
        <f>$C$3</f>
        <v>453</v>
      </c>
      <c r="D32" s="32">
        <f>$D$3</f>
        <v>203</v>
      </c>
      <c r="E32" s="32">
        <f>$E$3</f>
        <v>55</v>
      </c>
      <c r="F32" s="32">
        <f>$F$3</f>
        <v>194</v>
      </c>
      <c r="G32" s="32">
        <f>$G$3</f>
        <v>29</v>
      </c>
      <c r="H32" s="32">
        <f>$H$3</f>
        <v>237</v>
      </c>
      <c r="I32" s="32">
        <f>$I$3</f>
        <v>127</v>
      </c>
      <c r="J32" s="32">
        <f>$J$3</f>
        <v>284</v>
      </c>
      <c r="K32" s="32">
        <f>$K$3</f>
        <v>178</v>
      </c>
      <c r="L32" s="32">
        <f>$L$3</f>
        <v>97</v>
      </c>
      <c r="M32" s="32">
        <f>$M$3</f>
        <v>23</v>
      </c>
      <c r="N32" s="32">
        <f>$N$3</f>
        <v>287</v>
      </c>
      <c r="O32" s="32">
        <f>$O$3</f>
        <v>100</v>
      </c>
      <c r="P32" s="32">
        <f>$P$3</f>
        <v>37</v>
      </c>
      <c r="Q32" s="32">
        <f>$Q$3</f>
        <v>248</v>
      </c>
      <c r="R32" s="32">
        <f>$R$3</f>
        <v>71</v>
      </c>
      <c r="S32" s="32">
        <f>$S$3</f>
        <v>48</v>
      </c>
      <c r="T32" s="32">
        <f>$T$3</f>
        <v>35</v>
      </c>
      <c r="U32" s="32">
        <f>$U$3</f>
        <v>180</v>
      </c>
      <c r="V32" s="32">
        <f>$V$3</f>
        <v>38</v>
      </c>
      <c r="W32" s="32">
        <f>$W$3</f>
        <v>18</v>
      </c>
      <c r="X32" s="32">
        <f>$X$3</f>
        <v>12</v>
      </c>
      <c r="Y32" s="32">
        <f>$Y$3</f>
        <v>23</v>
      </c>
      <c r="Z32" s="32">
        <f>$Z$3</f>
        <v>76</v>
      </c>
      <c r="AA32" s="32">
        <f>$AA$3</f>
        <v>21</v>
      </c>
      <c r="AB32" s="32">
        <f>$AB$3</f>
        <v>296</v>
      </c>
      <c r="AC32" s="32">
        <f>$AC$3</f>
        <v>213</v>
      </c>
      <c r="AD32" s="32">
        <f>$AD$3</f>
        <v>75</v>
      </c>
      <c r="AE32" s="32">
        <f>$AE$3</f>
        <v>91</v>
      </c>
      <c r="AF32" s="32">
        <f>$AF$3</f>
        <v>136</v>
      </c>
      <c r="AG32" s="32">
        <f>$AG$3</f>
        <v>134</v>
      </c>
      <c r="AH32" s="32">
        <f>$AH$3</f>
        <v>64</v>
      </c>
      <c r="AI32" s="32">
        <f>$AI$3</f>
        <v>94</v>
      </c>
      <c r="AJ32" s="32">
        <f>$AJ$3</f>
        <v>123</v>
      </c>
      <c r="AK32" s="32">
        <f>$AK$3</f>
        <v>30</v>
      </c>
      <c r="AL32" s="32">
        <f>$AL$3</f>
        <v>57</v>
      </c>
      <c r="AM32" s="33"/>
      <c r="AN32" s="5">
        <f>SUM($C32:AM32)</f>
        <v>4387</v>
      </c>
    </row>
    <row r="33" spans="1:41" x14ac:dyDescent="0.2">
      <c r="A33" s="270"/>
      <c r="B33" s="35">
        <f>'問9S（表）'!B35</f>
        <v>100</v>
      </c>
      <c r="C33" s="20">
        <f t="shared" ref="C33:AL33" si="18">C32/$B$32*100</f>
        <v>28.032178217821784</v>
      </c>
      <c r="D33" s="207">
        <f t="shared" si="18"/>
        <v>12.561881188118813</v>
      </c>
      <c r="E33" s="207">
        <f t="shared" si="18"/>
        <v>3.4034653465346536</v>
      </c>
      <c r="F33" s="207">
        <f t="shared" si="18"/>
        <v>12.004950495049505</v>
      </c>
      <c r="G33" s="207">
        <f t="shared" si="18"/>
        <v>1.7945544554455444</v>
      </c>
      <c r="H33" s="207">
        <f t="shared" si="18"/>
        <v>14.665841584158414</v>
      </c>
      <c r="I33" s="207">
        <f t="shared" si="18"/>
        <v>7.858910891089109</v>
      </c>
      <c r="J33" s="207">
        <f t="shared" si="18"/>
        <v>17.574257425742573</v>
      </c>
      <c r="K33" s="207">
        <f t="shared" si="18"/>
        <v>11.014851485148515</v>
      </c>
      <c r="L33" s="207">
        <f t="shared" si="18"/>
        <v>6.0024752475247523</v>
      </c>
      <c r="M33" s="207">
        <f t="shared" si="18"/>
        <v>1.4232673267326734</v>
      </c>
      <c r="N33" s="207">
        <f t="shared" si="18"/>
        <v>17.759900990099009</v>
      </c>
      <c r="O33" s="207">
        <f t="shared" si="18"/>
        <v>6.1881188118811883</v>
      </c>
      <c r="P33" s="207">
        <f t="shared" si="18"/>
        <v>2.2896039603960396</v>
      </c>
      <c r="Q33" s="207">
        <f t="shared" si="18"/>
        <v>15.346534653465346</v>
      </c>
      <c r="R33" s="207">
        <f t="shared" si="18"/>
        <v>4.3935643564356432</v>
      </c>
      <c r="S33" s="207">
        <f t="shared" si="18"/>
        <v>2.9702970297029703</v>
      </c>
      <c r="T33" s="207">
        <f t="shared" si="18"/>
        <v>2.1658415841584158</v>
      </c>
      <c r="U33" s="207">
        <f t="shared" si="18"/>
        <v>11.138613861386139</v>
      </c>
      <c r="V33" s="207">
        <f t="shared" si="18"/>
        <v>2.3514851485148514</v>
      </c>
      <c r="W33" s="207">
        <f t="shared" si="18"/>
        <v>1.1138613861386137</v>
      </c>
      <c r="X33" s="207">
        <f t="shared" si="18"/>
        <v>0.74257425742574257</v>
      </c>
      <c r="Y33" s="207">
        <f t="shared" si="18"/>
        <v>1.4232673267326734</v>
      </c>
      <c r="Z33" s="207">
        <f t="shared" si="18"/>
        <v>4.7029702970297027</v>
      </c>
      <c r="AA33" s="207">
        <f t="shared" si="18"/>
        <v>1.2995049504950495</v>
      </c>
      <c r="AB33" s="207">
        <f t="shared" si="18"/>
        <v>18.316831683168317</v>
      </c>
      <c r="AC33" s="207">
        <f t="shared" si="18"/>
        <v>13.180693069306932</v>
      </c>
      <c r="AD33" s="207">
        <f t="shared" si="18"/>
        <v>4.641089108910891</v>
      </c>
      <c r="AE33" s="207">
        <f t="shared" si="18"/>
        <v>5.6311881188118811</v>
      </c>
      <c r="AF33" s="207">
        <f t="shared" si="18"/>
        <v>8.4158415841584162</v>
      </c>
      <c r="AG33" s="207">
        <f t="shared" si="18"/>
        <v>8.2920792079207928</v>
      </c>
      <c r="AH33" s="207">
        <f t="shared" si="18"/>
        <v>3.9603960396039604</v>
      </c>
      <c r="AI33" s="207">
        <f t="shared" si="18"/>
        <v>5.8168316831683171</v>
      </c>
      <c r="AJ33" s="207">
        <f t="shared" si="18"/>
        <v>7.6113861386138613</v>
      </c>
      <c r="AK33" s="207">
        <f t="shared" si="18"/>
        <v>1.8564356435643563</v>
      </c>
      <c r="AL33" s="207">
        <f t="shared" si="18"/>
        <v>3.527227722772277</v>
      </c>
      <c r="AM33" s="208"/>
      <c r="AN33" s="195"/>
    </row>
    <row r="34" spans="1:41" x14ac:dyDescent="0.2">
      <c r="A34" s="269" t="str">
        <f>'問9S（表）'!A36</f>
        <v>18～19歳(n = 21 )　　</v>
      </c>
      <c r="B34" s="34">
        <f>'問9S（表）'!B36</f>
        <v>21</v>
      </c>
      <c r="C34" s="31">
        <v>7</v>
      </c>
      <c r="D34" s="32">
        <v>1</v>
      </c>
      <c r="E34" s="32">
        <v>0</v>
      </c>
      <c r="F34" s="32">
        <v>1</v>
      </c>
      <c r="G34" s="32">
        <v>0</v>
      </c>
      <c r="H34" s="32">
        <v>4</v>
      </c>
      <c r="I34" s="32">
        <v>3</v>
      </c>
      <c r="J34" s="32">
        <v>2</v>
      </c>
      <c r="K34" s="32">
        <v>2</v>
      </c>
      <c r="L34" s="32">
        <v>1</v>
      </c>
      <c r="M34" s="32">
        <v>0</v>
      </c>
      <c r="N34" s="32">
        <v>3</v>
      </c>
      <c r="O34" s="32">
        <v>3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3</v>
      </c>
      <c r="V34" s="32">
        <v>0</v>
      </c>
      <c r="W34" s="32">
        <v>0</v>
      </c>
      <c r="X34" s="32">
        <v>0</v>
      </c>
      <c r="Y34" s="32">
        <v>1</v>
      </c>
      <c r="Z34" s="32">
        <v>1</v>
      </c>
      <c r="AA34" s="32">
        <v>1</v>
      </c>
      <c r="AB34" s="32">
        <v>3</v>
      </c>
      <c r="AC34" s="32">
        <v>5</v>
      </c>
      <c r="AD34" s="32">
        <v>3</v>
      </c>
      <c r="AE34" s="32">
        <v>1</v>
      </c>
      <c r="AF34" s="32">
        <v>3</v>
      </c>
      <c r="AG34" s="32">
        <v>5</v>
      </c>
      <c r="AH34" s="32">
        <v>2</v>
      </c>
      <c r="AI34" s="32">
        <v>3</v>
      </c>
      <c r="AJ34" s="32">
        <v>0</v>
      </c>
      <c r="AK34" s="32">
        <v>0</v>
      </c>
      <c r="AL34" s="32">
        <v>1</v>
      </c>
      <c r="AM34" s="33"/>
      <c r="AN34" s="5">
        <f>SUM($C34:AM34)</f>
        <v>59</v>
      </c>
      <c r="AO34" t="str">
        <f>" 18～19歳（ n = "&amp;B34&amp;"）"</f>
        <v xml:space="preserve"> 18～19歳（ n = 21）</v>
      </c>
    </row>
    <row r="35" spans="1:41" x14ac:dyDescent="0.2">
      <c r="A35" s="270"/>
      <c r="B35" s="35">
        <f>'問9S（表）'!B37</f>
        <v>1.2995049504950495</v>
      </c>
      <c r="C35" s="20">
        <f t="shared" ref="C35:AL35" si="19">C34/$B$34*100</f>
        <v>33.333333333333329</v>
      </c>
      <c r="D35" s="207">
        <f t="shared" si="19"/>
        <v>4.7619047619047619</v>
      </c>
      <c r="E35" s="207">
        <f t="shared" si="19"/>
        <v>0</v>
      </c>
      <c r="F35" s="207">
        <f t="shared" si="19"/>
        <v>4.7619047619047619</v>
      </c>
      <c r="G35" s="207">
        <f t="shared" si="19"/>
        <v>0</v>
      </c>
      <c r="H35" s="207">
        <f t="shared" si="19"/>
        <v>19.047619047619047</v>
      </c>
      <c r="I35" s="207">
        <f t="shared" si="19"/>
        <v>14.285714285714285</v>
      </c>
      <c r="J35" s="207">
        <f t="shared" si="19"/>
        <v>9.5238095238095237</v>
      </c>
      <c r="K35" s="207">
        <f t="shared" si="19"/>
        <v>9.5238095238095237</v>
      </c>
      <c r="L35" s="207">
        <f t="shared" si="19"/>
        <v>4.7619047619047619</v>
      </c>
      <c r="M35" s="207">
        <f t="shared" si="19"/>
        <v>0</v>
      </c>
      <c r="N35" s="207">
        <f t="shared" si="19"/>
        <v>14.285714285714285</v>
      </c>
      <c r="O35" s="207">
        <f t="shared" si="19"/>
        <v>14.285714285714285</v>
      </c>
      <c r="P35" s="207">
        <f t="shared" si="19"/>
        <v>0</v>
      </c>
      <c r="Q35" s="207">
        <f t="shared" si="19"/>
        <v>0</v>
      </c>
      <c r="R35" s="207">
        <f t="shared" si="19"/>
        <v>0</v>
      </c>
      <c r="S35" s="207">
        <f t="shared" si="19"/>
        <v>0</v>
      </c>
      <c r="T35" s="207">
        <f t="shared" si="19"/>
        <v>0</v>
      </c>
      <c r="U35" s="207">
        <f t="shared" si="19"/>
        <v>14.285714285714285</v>
      </c>
      <c r="V35" s="207">
        <f t="shared" si="19"/>
        <v>0</v>
      </c>
      <c r="W35" s="207">
        <f t="shared" si="19"/>
        <v>0</v>
      </c>
      <c r="X35" s="207">
        <f t="shared" si="19"/>
        <v>0</v>
      </c>
      <c r="Y35" s="207">
        <f t="shared" si="19"/>
        <v>4.7619047619047619</v>
      </c>
      <c r="Z35" s="207">
        <f t="shared" si="19"/>
        <v>4.7619047619047619</v>
      </c>
      <c r="AA35" s="207">
        <f t="shared" si="19"/>
        <v>4.7619047619047619</v>
      </c>
      <c r="AB35" s="207">
        <f t="shared" si="19"/>
        <v>14.285714285714285</v>
      </c>
      <c r="AC35" s="207">
        <f t="shared" si="19"/>
        <v>23.809523809523807</v>
      </c>
      <c r="AD35" s="207">
        <f t="shared" si="19"/>
        <v>14.285714285714285</v>
      </c>
      <c r="AE35" s="207">
        <f t="shared" si="19"/>
        <v>4.7619047619047619</v>
      </c>
      <c r="AF35" s="207">
        <f t="shared" si="19"/>
        <v>14.285714285714285</v>
      </c>
      <c r="AG35" s="207">
        <f t="shared" si="19"/>
        <v>23.809523809523807</v>
      </c>
      <c r="AH35" s="207">
        <f t="shared" si="19"/>
        <v>9.5238095238095237</v>
      </c>
      <c r="AI35" s="207">
        <f t="shared" si="19"/>
        <v>14.285714285714285</v>
      </c>
      <c r="AJ35" s="207">
        <f t="shared" si="19"/>
        <v>0</v>
      </c>
      <c r="AK35" s="207">
        <f t="shared" si="19"/>
        <v>0</v>
      </c>
      <c r="AL35" s="207">
        <f t="shared" si="19"/>
        <v>4.7619047619047619</v>
      </c>
      <c r="AM35" s="208"/>
      <c r="AN35" s="195"/>
    </row>
    <row r="36" spans="1:41" x14ac:dyDescent="0.2">
      <c r="A36" s="269" t="str">
        <f>'問9S（表）'!A38</f>
        <v>20～29歳(n = 119 )　　</v>
      </c>
      <c r="B36" s="34">
        <f>'問9S（表）'!B38</f>
        <v>119</v>
      </c>
      <c r="C36" s="31">
        <v>36</v>
      </c>
      <c r="D36" s="32">
        <v>22</v>
      </c>
      <c r="E36" s="32">
        <v>8</v>
      </c>
      <c r="F36" s="32">
        <v>13</v>
      </c>
      <c r="G36" s="32">
        <v>3</v>
      </c>
      <c r="H36" s="32">
        <v>25</v>
      </c>
      <c r="I36" s="32">
        <v>8</v>
      </c>
      <c r="J36" s="32">
        <v>20</v>
      </c>
      <c r="K36" s="32">
        <v>11</v>
      </c>
      <c r="L36" s="32">
        <v>8</v>
      </c>
      <c r="M36" s="32">
        <v>5</v>
      </c>
      <c r="N36" s="32">
        <v>16</v>
      </c>
      <c r="O36" s="32">
        <v>7</v>
      </c>
      <c r="P36" s="32">
        <v>3</v>
      </c>
      <c r="Q36" s="32">
        <v>9</v>
      </c>
      <c r="R36" s="32">
        <v>5</v>
      </c>
      <c r="S36" s="32">
        <v>0</v>
      </c>
      <c r="T36" s="32">
        <v>3</v>
      </c>
      <c r="U36" s="32">
        <v>12</v>
      </c>
      <c r="V36" s="32">
        <v>3</v>
      </c>
      <c r="W36" s="32">
        <v>3</v>
      </c>
      <c r="X36" s="32">
        <v>1</v>
      </c>
      <c r="Y36" s="32">
        <v>2</v>
      </c>
      <c r="Z36" s="32">
        <v>6</v>
      </c>
      <c r="AA36" s="32">
        <v>0</v>
      </c>
      <c r="AB36" s="32">
        <v>16</v>
      </c>
      <c r="AC36" s="32">
        <v>14</v>
      </c>
      <c r="AD36" s="32">
        <v>5</v>
      </c>
      <c r="AE36" s="32">
        <v>13</v>
      </c>
      <c r="AF36" s="32">
        <v>14</v>
      </c>
      <c r="AG36" s="32">
        <v>16</v>
      </c>
      <c r="AH36" s="32">
        <v>5</v>
      </c>
      <c r="AI36" s="32">
        <v>11</v>
      </c>
      <c r="AJ36" s="32">
        <v>5</v>
      </c>
      <c r="AK36" s="32">
        <v>2</v>
      </c>
      <c r="AL36" s="32">
        <v>3</v>
      </c>
      <c r="AM36" s="33"/>
      <c r="AN36" s="5">
        <f>SUM($C36:AM36)</f>
        <v>333</v>
      </c>
      <c r="AO36" t="str">
        <f>" 20～29歳（ n = "&amp;B36&amp;"）"</f>
        <v xml:space="preserve"> 20～29歳（ n = 119）</v>
      </c>
    </row>
    <row r="37" spans="1:41" x14ac:dyDescent="0.2">
      <c r="A37" s="270"/>
      <c r="B37" s="35">
        <f>'問9S（表）'!B39</f>
        <v>7.3638613861386135</v>
      </c>
      <c r="C37" s="20">
        <f t="shared" ref="C37:AL37" si="20">C36/$B$36*100</f>
        <v>30.252100840336134</v>
      </c>
      <c r="D37" s="207">
        <f t="shared" si="20"/>
        <v>18.487394957983195</v>
      </c>
      <c r="E37" s="207">
        <f t="shared" si="20"/>
        <v>6.7226890756302522</v>
      </c>
      <c r="F37" s="207">
        <f t="shared" si="20"/>
        <v>10.92436974789916</v>
      </c>
      <c r="G37" s="207">
        <f t="shared" si="20"/>
        <v>2.5210084033613445</v>
      </c>
      <c r="H37" s="207">
        <f t="shared" si="20"/>
        <v>21.008403361344538</v>
      </c>
      <c r="I37" s="207">
        <f t="shared" si="20"/>
        <v>6.7226890756302522</v>
      </c>
      <c r="J37" s="207">
        <f t="shared" si="20"/>
        <v>16.806722689075631</v>
      </c>
      <c r="K37" s="207">
        <f t="shared" si="20"/>
        <v>9.2436974789915975</v>
      </c>
      <c r="L37" s="207">
        <f t="shared" si="20"/>
        <v>6.7226890756302522</v>
      </c>
      <c r="M37" s="207">
        <f t="shared" si="20"/>
        <v>4.2016806722689077</v>
      </c>
      <c r="N37" s="207">
        <f t="shared" si="20"/>
        <v>13.445378151260504</v>
      </c>
      <c r="O37" s="207">
        <f t="shared" si="20"/>
        <v>5.8823529411764701</v>
      </c>
      <c r="P37" s="207">
        <f t="shared" si="20"/>
        <v>2.5210084033613445</v>
      </c>
      <c r="Q37" s="207">
        <f t="shared" si="20"/>
        <v>7.5630252100840334</v>
      </c>
      <c r="R37" s="207">
        <f t="shared" si="20"/>
        <v>4.2016806722689077</v>
      </c>
      <c r="S37" s="207">
        <f t="shared" si="20"/>
        <v>0</v>
      </c>
      <c r="T37" s="207">
        <f t="shared" si="20"/>
        <v>2.5210084033613445</v>
      </c>
      <c r="U37" s="207">
        <f t="shared" si="20"/>
        <v>10.084033613445378</v>
      </c>
      <c r="V37" s="207">
        <f t="shared" si="20"/>
        <v>2.5210084033613445</v>
      </c>
      <c r="W37" s="207">
        <f t="shared" si="20"/>
        <v>2.5210084033613445</v>
      </c>
      <c r="X37" s="207">
        <f t="shared" si="20"/>
        <v>0.84033613445378152</v>
      </c>
      <c r="Y37" s="207">
        <f t="shared" si="20"/>
        <v>1.680672268907563</v>
      </c>
      <c r="Z37" s="207">
        <f t="shared" si="20"/>
        <v>5.0420168067226889</v>
      </c>
      <c r="AA37" s="207">
        <f t="shared" si="20"/>
        <v>0</v>
      </c>
      <c r="AB37" s="207">
        <f t="shared" si="20"/>
        <v>13.445378151260504</v>
      </c>
      <c r="AC37" s="207">
        <f t="shared" si="20"/>
        <v>11.76470588235294</v>
      </c>
      <c r="AD37" s="207">
        <f t="shared" si="20"/>
        <v>4.2016806722689077</v>
      </c>
      <c r="AE37" s="207">
        <f t="shared" si="20"/>
        <v>10.92436974789916</v>
      </c>
      <c r="AF37" s="207">
        <f t="shared" si="20"/>
        <v>11.76470588235294</v>
      </c>
      <c r="AG37" s="207">
        <f t="shared" si="20"/>
        <v>13.445378151260504</v>
      </c>
      <c r="AH37" s="207">
        <f t="shared" si="20"/>
        <v>4.2016806722689077</v>
      </c>
      <c r="AI37" s="207">
        <f t="shared" si="20"/>
        <v>9.2436974789915975</v>
      </c>
      <c r="AJ37" s="207">
        <f t="shared" si="20"/>
        <v>4.2016806722689077</v>
      </c>
      <c r="AK37" s="207">
        <f t="shared" si="20"/>
        <v>1.680672268907563</v>
      </c>
      <c r="AL37" s="207">
        <f t="shared" si="20"/>
        <v>2.5210084033613445</v>
      </c>
      <c r="AM37" s="208"/>
      <c r="AN37" s="195"/>
    </row>
    <row r="38" spans="1:41" x14ac:dyDescent="0.2">
      <c r="A38" s="269" t="str">
        <f>'問9S（表）'!A40</f>
        <v>30～39歳(n = 196 )　　</v>
      </c>
      <c r="B38" s="34">
        <f>'問9S（表）'!B40</f>
        <v>196</v>
      </c>
      <c r="C38" s="31">
        <v>45</v>
      </c>
      <c r="D38" s="32">
        <v>36</v>
      </c>
      <c r="E38" s="32">
        <v>11</v>
      </c>
      <c r="F38" s="32">
        <v>11</v>
      </c>
      <c r="G38" s="32">
        <v>2</v>
      </c>
      <c r="H38" s="32">
        <v>23</v>
      </c>
      <c r="I38" s="32">
        <v>10</v>
      </c>
      <c r="J38" s="32">
        <v>33</v>
      </c>
      <c r="K38" s="32">
        <v>14</v>
      </c>
      <c r="L38" s="32">
        <v>11</v>
      </c>
      <c r="M38" s="32">
        <v>3</v>
      </c>
      <c r="N38" s="32">
        <v>29</v>
      </c>
      <c r="O38" s="32">
        <v>7</v>
      </c>
      <c r="P38" s="32">
        <v>9</v>
      </c>
      <c r="Q38" s="32">
        <v>45</v>
      </c>
      <c r="R38" s="32">
        <v>8</v>
      </c>
      <c r="S38" s="32">
        <v>6</v>
      </c>
      <c r="T38" s="32">
        <v>4</v>
      </c>
      <c r="U38" s="32">
        <v>15</v>
      </c>
      <c r="V38" s="32">
        <v>7</v>
      </c>
      <c r="W38" s="32">
        <v>3</v>
      </c>
      <c r="X38" s="32">
        <v>1</v>
      </c>
      <c r="Y38" s="32">
        <v>4</v>
      </c>
      <c r="Z38" s="32">
        <v>9</v>
      </c>
      <c r="AA38" s="32">
        <v>2</v>
      </c>
      <c r="AB38" s="32">
        <v>35</v>
      </c>
      <c r="AC38" s="32">
        <v>30</v>
      </c>
      <c r="AD38" s="32">
        <v>6</v>
      </c>
      <c r="AE38" s="32">
        <v>10</v>
      </c>
      <c r="AF38" s="32">
        <v>24</v>
      </c>
      <c r="AG38" s="32">
        <v>17</v>
      </c>
      <c r="AH38" s="32">
        <v>3</v>
      </c>
      <c r="AI38" s="32">
        <v>10</v>
      </c>
      <c r="AJ38" s="32">
        <v>12</v>
      </c>
      <c r="AK38" s="32">
        <v>5</v>
      </c>
      <c r="AL38" s="32">
        <v>8</v>
      </c>
      <c r="AM38" s="33"/>
      <c r="AN38" s="5">
        <f>SUM($C38:AM38)</f>
        <v>508</v>
      </c>
      <c r="AO38" t="str">
        <f>" 30～39歳（ n = "&amp;B38&amp;"）"</f>
        <v xml:space="preserve"> 30～39歳（ n = 196）</v>
      </c>
    </row>
    <row r="39" spans="1:41" x14ac:dyDescent="0.2">
      <c r="A39" s="270"/>
      <c r="B39" s="35">
        <f>'問9S（表）'!B41</f>
        <v>12.128712871287128</v>
      </c>
      <c r="C39" s="20">
        <f t="shared" ref="C39:AL39" si="21">C38/$B$38*100</f>
        <v>22.95918367346939</v>
      </c>
      <c r="D39" s="207">
        <f t="shared" si="21"/>
        <v>18.367346938775512</v>
      </c>
      <c r="E39" s="207">
        <f t="shared" si="21"/>
        <v>5.6122448979591839</v>
      </c>
      <c r="F39" s="207">
        <f t="shared" si="21"/>
        <v>5.6122448979591839</v>
      </c>
      <c r="G39" s="207">
        <f t="shared" si="21"/>
        <v>1.0204081632653061</v>
      </c>
      <c r="H39" s="207">
        <f t="shared" si="21"/>
        <v>11.73469387755102</v>
      </c>
      <c r="I39" s="207">
        <f t="shared" si="21"/>
        <v>5.1020408163265305</v>
      </c>
      <c r="J39" s="207">
        <f t="shared" si="21"/>
        <v>16.836734693877549</v>
      </c>
      <c r="K39" s="207">
        <f t="shared" si="21"/>
        <v>7.1428571428571423</v>
      </c>
      <c r="L39" s="207">
        <f t="shared" si="21"/>
        <v>5.6122448979591839</v>
      </c>
      <c r="M39" s="207">
        <f t="shared" si="21"/>
        <v>1.5306122448979591</v>
      </c>
      <c r="N39" s="207">
        <f t="shared" si="21"/>
        <v>14.795918367346939</v>
      </c>
      <c r="O39" s="207">
        <f t="shared" si="21"/>
        <v>3.5714285714285712</v>
      </c>
      <c r="P39" s="207">
        <f t="shared" si="21"/>
        <v>4.591836734693878</v>
      </c>
      <c r="Q39" s="207">
        <f t="shared" si="21"/>
        <v>22.95918367346939</v>
      </c>
      <c r="R39" s="207">
        <f t="shared" si="21"/>
        <v>4.0816326530612246</v>
      </c>
      <c r="S39" s="207">
        <f t="shared" si="21"/>
        <v>3.0612244897959182</v>
      </c>
      <c r="T39" s="207">
        <f t="shared" si="21"/>
        <v>2.0408163265306123</v>
      </c>
      <c r="U39" s="207">
        <f t="shared" si="21"/>
        <v>7.6530612244897958</v>
      </c>
      <c r="V39" s="207">
        <f t="shared" si="21"/>
        <v>3.5714285714285712</v>
      </c>
      <c r="W39" s="207">
        <f t="shared" si="21"/>
        <v>1.5306122448979591</v>
      </c>
      <c r="X39" s="207">
        <f t="shared" si="21"/>
        <v>0.51020408163265307</v>
      </c>
      <c r="Y39" s="207">
        <f t="shared" si="21"/>
        <v>2.0408163265306123</v>
      </c>
      <c r="Z39" s="207">
        <f t="shared" si="21"/>
        <v>4.591836734693878</v>
      </c>
      <c r="AA39" s="207">
        <f t="shared" si="21"/>
        <v>1.0204081632653061</v>
      </c>
      <c r="AB39" s="207">
        <f t="shared" si="21"/>
        <v>17.857142857142858</v>
      </c>
      <c r="AC39" s="207">
        <f t="shared" si="21"/>
        <v>15.306122448979592</v>
      </c>
      <c r="AD39" s="207">
        <f t="shared" si="21"/>
        <v>3.0612244897959182</v>
      </c>
      <c r="AE39" s="207">
        <f t="shared" si="21"/>
        <v>5.1020408163265305</v>
      </c>
      <c r="AF39" s="207">
        <f t="shared" si="21"/>
        <v>12.244897959183673</v>
      </c>
      <c r="AG39" s="207">
        <f t="shared" si="21"/>
        <v>8.6734693877551017</v>
      </c>
      <c r="AH39" s="207">
        <f t="shared" si="21"/>
        <v>1.5306122448979591</v>
      </c>
      <c r="AI39" s="207">
        <f t="shared" si="21"/>
        <v>5.1020408163265305</v>
      </c>
      <c r="AJ39" s="207">
        <f t="shared" si="21"/>
        <v>6.1224489795918364</v>
      </c>
      <c r="AK39" s="207">
        <f t="shared" si="21"/>
        <v>2.5510204081632653</v>
      </c>
      <c r="AL39" s="207">
        <f t="shared" si="21"/>
        <v>4.0816326530612246</v>
      </c>
      <c r="AM39" s="208"/>
      <c r="AN39" s="195"/>
    </row>
    <row r="40" spans="1:41" x14ac:dyDescent="0.2">
      <c r="A40" s="269" t="str">
        <f>'問9S（表）'!A42</f>
        <v>40～49歳(n = 281 )　　</v>
      </c>
      <c r="B40" s="34">
        <f>'問9S（表）'!B42</f>
        <v>281</v>
      </c>
      <c r="C40" s="31">
        <v>83</v>
      </c>
      <c r="D40" s="32">
        <v>34</v>
      </c>
      <c r="E40" s="32">
        <v>7</v>
      </c>
      <c r="F40" s="32">
        <v>21</v>
      </c>
      <c r="G40" s="32">
        <v>5</v>
      </c>
      <c r="H40" s="32">
        <v>43</v>
      </c>
      <c r="I40" s="32">
        <v>33</v>
      </c>
      <c r="J40" s="32">
        <v>46</v>
      </c>
      <c r="K40" s="32">
        <v>27</v>
      </c>
      <c r="L40" s="32">
        <v>17</v>
      </c>
      <c r="M40" s="32">
        <v>7</v>
      </c>
      <c r="N40" s="32">
        <v>37</v>
      </c>
      <c r="O40" s="32">
        <v>13</v>
      </c>
      <c r="P40" s="32">
        <v>6</v>
      </c>
      <c r="Q40" s="32">
        <v>74</v>
      </c>
      <c r="R40" s="32">
        <v>13</v>
      </c>
      <c r="S40" s="32">
        <v>9</v>
      </c>
      <c r="T40" s="32">
        <v>6</v>
      </c>
      <c r="U40" s="32">
        <v>29</v>
      </c>
      <c r="V40" s="32">
        <v>7</v>
      </c>
      <c r="W40" s="32">
        <v>1</v>
      </c>
      <c r="X40" s="32">
        <v>1</v>
      </c>
      <c r="Y40" s="32">
        <v>7</v>
      </c>
      <c r="Z40" s="32">
        <v>11</v>
      </c>
      <c r="AA40" s="32">
        <v>7</v>
      </c>
      <c r="AB40" s="32">
        <v>53</v>
      </c>
      <c r="AC40" s="32">
        <v>40</v>
      </c>
      <c r="AD40" s="32">
        <v>19</v>
      </c>
      <c r="AE40" s="32">
        <v>16</v>
      </c>
      <c r="AF40" s="32">
        <v>26</v>
      </c>
      <c r="AG40" s="32">
        <v>38</v>
      </c>
      <c r="AH40" s="32">
        <v>12</v>
      </c>
      <c r="AI40" s="32">
        <v>19</v>
      </c>
      <c r="AJ40" s="32">
        <v>28</v>
      </c>
      <c r="AK40" s="32">
        <v>7</v>
      </c>
      <c r="AL40" s="32">
        <v>16</v>
      </c>
      <c r="AM40" s="33"/>
      <c r="AN40" s="5">
        <f>SUM($C40:AM40)</f>
        <v>818</v>
      </c>
      <c r="AO40" t="str">
        <f>" 40～49歳（ n = "&amp;B40&amp;"）"</f>
        <v xml:space="preserve"> 40～49歳（ n = 281）</v>
      </c>
    </row>
    <row r="41" spans="1:41" x14ac:dyDescent="0.2">
      <c r="A41" s="270"/>
      <c r="B41" s="35">
        <f>'問9S（表）'!B43</f>
        <v>17.388613861386137</v>
      </c>
      <c r="C41" s="20">
        <f t="shared" ref="C41:AL41" si="22">C40/$B$40*100</f>
        <v>29.537366548042705</v>
      </c>
      <c r="D41" s="207">
        <f t="shared" si="22"/>
        <v>12.099644128113878</v>
      </c>
      <c r="E41" s="207">
        <f t="shared" si="22"/>
        <v>2.4911032028469751</v>
      </c>
      <c r="F41" s="207">
        <f t="shared" si="22"/>
        <v>7.4733096085409247</v>
      </c>
      <c r="G41" s="207">
        <f t="shared" si="22"/>
        <v>1.7793594306049825</v>
      </c>
      <c r="H41" s="207">
        <f t="shared" si="22"/>
        <v>15.302491103202847</v>
      </c>
      <c r="I41" s="207">
        <f t="shared" si="22"/>
        <v>11.743772241992882</v>
      </c>
      <c r="J41" s="207">
        <f t="shared" si="22"/>
        <v>16.370106761565836</v>
      </c>
      <c r="K41" s="207">
        <f t="shared" si="22"/>
        <v>9.6085409252669027</v>
      </c>
      <c r="L41" s="207">
        <f t="shared" si="22"/>
        <v>6.0498220640569391</v>
      </c>
      <c r="M41" s="207">
        <f t="shared" si="22"/>
        <v>2.4911032028469751</v>
      </c>
      <c r="N41" s="207">
        <f t="shared" si="22"/>
        <v>13.167259786476867</v>
      </c>
      <c r="O41" s="207">
        <f t="shared" si="22"/>
        <v>4.6263345195729535</v>
      </c>
      <c r="P41" s="207">
        <f t="shared" si="22"/>
        <v>2.1352313167259789</v>
      </c>
      <c r="Q41" s="207">
        <f t="shared" si="22"/>
        <v>26.334519572953734</v>
      </c>
      <c r="R41" s="207">
        <f t="shared" si="22"/>
        <v>4.6263345195729535</v>
      </c>
      <c r="S41" s="207">
        <f t="shared" si="22"/>
        <v>3.2028469750889679</v>
      </c>
      <c r="T41" s="207">
        <f t="shared" si="22"/>
        <v>2.1352313167259789</v>
      </c>
      <c r="U41" s="207">
        <f t="shared" si="22"/>
        <v>10.320284697508896</v>
      </c>
      <c r="V41" s="207">
        <f t="shared" si="22"/>
        <v>2.4911032028469751</v>
      </c>
      <c r="W41" s="207">
        <f t="shared" si="22"/>
        <v>0.35587188612099641</v>
      </c>
      <c r="X41" s="207">
        <f t="shared" si="22"/>
        <v>0.35587188612099641</v>
      </c>
      <c r="Y41" s="207">
        <f t="shared" si="22"/>
        <v>2.4911032028469751</v>
      </c>
      <c r="Z41" s="207">
        <f t="shared" si="22"/>
        <v>3.9145907473309607</v>
      </c>
      <c r="AA41" s="207">
        <f t="shared" si="22"/>
        <v>2.4911032028469751</v>
      </c>
      <c r="AB41" s="207">
        <f t="shared" si="22"/>
        <v>18.861209964412812</v>
      </c>
      <c r="AC41" s="207">
        <f t="shared" si="22"/>
        <v>14.23487544483986</v>
      </c>
      <c r="AD41" s="207">
        <f t="shared" si="22"/>
        <v>6.7615658362989333</v>
      </c>
      <c r="AE41" s="207">
        <f t="shared" si="22"/>
        <v>5.6939501779359425</v>
      </c>
      <c r="AF41" s="207">
        <f t="shared" si="22"/>
        <v>9.252669039145907</v>
      </c>
      <c r="AG41" s="207">
        <f t="shared" si="22"/>
        <v>13.523131672597867</v>
      </c>
      <c r="AH41" s="207">
        <f t="shared" si="22"/>
        <v>4.2704626334519578</v>
      </c>
      <c r="AI41" s="207">
        <f t="shared" si="22"/>
        <v>6.7615658362989333</v>
      </c>
      <c r="AJ41" s="207">
        <f t="shared" si="22"/>
        <v>9.9644128113879002</v>
      </c>
      <c r="AK41" s="207">
        <f t="shared" si="22"/>
        <v>2.4911032028469751</v>
      </c>
      <c r="AL41" s="207">
        <f t="shared" si="22"/>
        <v>5.6939501779359425</v>
      </c>
      <c r="AM41" s="208"/>
      <c r="AN41" s="195"/>
    </row>
    <row r="42" spans="1:41" x14ac:dyDescent="0.2">
      <c r="A42" s="269" t="str">
        <f>'問9S（表）'!A44</f>
        <v>50～59歳(n = 320 )　　</v>
      </c>
      <c r="B42" s="34">
        <f>'問9S（表）'!B44</f>
        <v>320</v>
      </c>
      <c r="C42" s="31">
        <v>93</v>
      </c>
      <c r="D42" s="32">
        <v>41</v>
      </c>
      <c r="E42" s="32">
        <v>9</v>
      </c>
      <c r="F42" s="32">
        <v>25</v>
      </c>
      <c r="G42" s="32">
        <v>4</v>
      </c>
      <c r="H42" s="32">
        <v>31</v>
      </c>
      <c r="I42" s="32">
        <v>22</v>
      </c>
      <c r="J42" s="32">
        <v>48</v>
      </c>
      <c r="K42" s="32">
        <v>39</v>
      </c>
      <c r="L42" s="32">
        <v>17</v>
      </c>
      <c r="M42" s="32">
        <v>1</v>
      </c>
      <c r="N42" s="32">
        <v>52</v>
      </c>
      <c r="O42" s="32">
        <v>23</v>
      </c>
      <c r="P42" s="32">
        <v>10</v>
      </c>
      <c r="Q42" s="32">
        <v>47</v>
      </c>
      <c r="R42" s="32">
        <v>21</v>
      </c>
      <c r="S42" s="32">
        <v>11</v>
      </c>
      <c r="T42" s="32">
        <v>7</v>
      </c>
      <c r="U42" s="32">
        <v>36</v>
      </c>
      <c r="V42" s="32">
        <v>8</v>
      </c>
      <c r="W42" s="32">
        <v>2</v>
      </c>
      <c r="X42" s="32">
        <v>2</v>
      </c>
      <c r="Y42" s="32">
        <v>7</v>
      </c>
      <c r="Z42" s="32">
        <v>13</v>
      </c>
      <c r="AA42" s="32">
        <v>6</v>
      </c>
      <c r="AB42" s="32">
        <v>61</v>
      </c>
      <c r="AC42" s="32">
        <v>43</v>
      </c>
      <c r="AD42" s="32">
        <v>13</v>
      </c>
      <c r="AE42" s="32">
        <v>14</v>
      </c>
      <c r="AF42" s="32">
        <v>29</v>
      </c>
      <c r="AG42" s="32">
        <v>23</v>
      </c>
      <c r="AH42" s="32">
        <v>8</v>
      </c>
      <c r="AI42" s="32">
        <v>19</v>
      </c>
      <c r="AJ42" s="32">
        <v>22</v>
      </c>
      <c r="AK42" s="32">
        <v>5</v>
      </c>
      <c r="AL42" s="32">
        <v>9</v>
      </c>
      <c r="AM42" s="33"/>
      <c r="AN42" s="5">
        <f>SUM($C42:AM42)</f>
        <v>821</v>
      </c>
      <c r="AO42" t="str">
        <f>" 50～59歳（ n = "&amp;B42&amp;"）"</f>
        <v xml:space="preserve"> 50～59歳（ n = 320）</v>
      </c>
    </row>
    <row r="43" spans="1:41" x14ac:dyDescent="0.2">
      <c r="A43" s="270"/>
      <c r="B43" s="35">
        <f>'問9S（表）'!B45</f>
        <v>19.801980198019802</v>
      </c>
      <c r="C43" s="20">
        <f t="shared" ref="C43:AL43" si="23">C42/$B$42*100</f>
        <v>29.062500000000004</v>
      </c>
      <c r="D43" s="207">
        <f t="shared" si="23"/>
        <v>12.812499999999998</v>
      </c>
      <c r="E43" s="207">
        <f t="shared" si="23"/>
        <v>2.8125</v>
      </c>
      <c r="F43" s="207">
        <f t="shared" si="23"/>
        <v>7.8125</v>
      </c>
      <c r="G43" s="207">
        <f t="shared" si="23"/>
        <v>1.25</v>
      </c>
      <c r="H43" s="207">
        <f t="shared" si="23"/>
        <v>9.6875</v>
      </c>
      <c r="I43" s="207">
        <f t="shared" si="23"/>
        <v>6.8750000000000009</v>
      </c>
      <c r="J43" s="207">
        <f t="shared" si="23"/>
        <v>15</v>
      </c>
      <c r="K43" s="207">
        <f t="shared" si="23"/>
        <v>12.1875</v>
      </c>
      <c r="L43" s="207">
        <f t="shared" si="23"/>
        <v>5.3125</v>
      </c>
      <c r="M43" s="207">
        <f t="shared" si="23"/>
        <v>0.3125</v>
      </c>
      <c r="N43" s="207">
        <f t="shared" si="23"/>
        <v>16.25</v>
      </c>
      <c r="O43" s="207">
        <f t="shared" si="23"/>
        <v>7.1874999999999991</v>
      </c>
      <c r="P43" s="207">
        <f t="shared" si="23"/>
        <v>3.125</v>
      </c>
      <c r="Q43" s="207">
        <f t="shared" si="23"/>
        <v>14.6875</v>
      </c>
      <c r="R43" s="207">
        <f t="shared" si="23"/>
        <v>6.5625</v>
      </c>
      <c r="S43" s="207">
        <f t="shared" si="23"/>
        <v>3.4375000000000004</v>
      </c>
      <c r="T43" s="207">
        <f t="shared" si="23"/>
        <v>2.1875</v>
      </c>
      <c r="U43" s="207">
        <f t="shared" si="23"/>
        <v>11.25</v>
      </c>
      <c r="V43" s="207">
        <f t="shared" si="23"/>
        <v>2.5</v>
      </c>
      <c r="W43" s="207">
        <f t="shared" si="23"/>
        <v>0.625</v>
      </c>
      <c r="X43" s="207">
        <f t="shared" si="23"/>
        <v>0.625</v>
      </c>
      <c r="Y43" s="207">
        <f t="shared" si="23"/>
        <v>2.1875</v>
      </c>
      <c r="Z43" s="207">
        <f t="shared" si="23"/>
        <v>4.0625</v>
      </c>
      <c r="AA43" s="207">
        <f t="shared" si="23"/>
        <v>1.875</v>
      </c>
      <c r="AB43" s="207">
        <f t="shared" si="23"/>
        <v>19.0625</v>
      </c>
      <c r="AC43" s="207">
        <f t="shared" si="23"/>
        <v>13.4375</v>
      </c>
      <c r="AD43" s="207">
        <f t="shared" si="23"/>
        <v>4.0625</v>
      </c>
      <c r="AE43" s="207">
        <f t="shared" si="23"/>
        <v>4.375</v>
      </c>
      <c r="AF43" s="207">
        <f t="shared" si="23"/>
        <v>9.0625</v>
      </c>
      <c r="AG43" s="207">
        <f t="shared" si="23"/>
        <v>7.1874999999999991</v>
      </c>
      <c r="AH43" s="207">
        <f t="shared" si="23"/>
        <v>2.5</v>
      </c>
      <c r="AI43" s="207">
        <f t="shared" si="23"/>
        <v>5.9375</v>
      </c>
      <c r="AJ43" s="207">
        <f t="shared" si="23"/>
        <v>6.8750000000000009</v>
      </c>
      <c r="AK43" s="207">
        <f t="shared" si="23"/>
        <v>1.5625</v>
      </c>
      <c r="AL43" s="207">
        <f t="shared" si="23"/>
        <v>2.8125</v>
      </c>
      <c r="AM43" s="208"/>
      <c r="AN43" s="195"/>
    </row>
    <row r="44" spans="1:41" x14ac:dyDescent="0.2">
      <c r="A44" s="269" t="str">
        <f>'問9S（表）'!A46</f>
        <v>60～69歳(n = 352 )　　</v>
      </c>
      <c r="B44" s="34">
        <f>'問9S（表）'!B46</f>
        <v>352</v>
      </c>
      <c r="C44" s="31">
        <v>99</v>
      </c>
      <c r="D44" s="32">
        <v>42</v>
      </c>
      <c r="E44" s="32">
        <v>12</v>
      </c>
      <c r="F44" s="32">
        <v>54</v>
      </c>
      <c r="G44" s="32">
        <v>7</v>
      </c>
      <c r="H44" s="32">
        <v>50</v>
      </c>
      <c r="I44" s="32">
        <v>22</v>
      </c>
      <c r="J44" s="32">
        <v>61</v>
      </c>
      <c r="K44" s="32">
        <v>31</v>
      </c>
      <c r="L44" s="32">
        <v>20</v>
      </c>
      <c r="M44" s="32">
        <v>3</v>
      </c>
      <c r="N44" s="32">
        <v>72</v>
      </c>
      <c r="O44" s="32">
        <v>25</v>
      </c>
      <c r="P44" s="32">
        <v>5</v>
      </c>
      <c r="Q44" s="32">
        <v>39</v>
      </c>
      <c r="R44" s="32">
        <v>12</v>
      </c>
      <c r="S44" s="32">
        <v>12</v>
      </c>
      <c r="T44" s="32">
        <v>7</v>
      </c>
      <c r="U44" s="32">
        <v>46</v>
      </c>
      <c r="V44" s="32">
        <v>9</v>
      </c>
      <c r="W44" s="32">
        <v>5</v>
      </c>
      <c r="X44" s="32">
        <v>2</v>
      </c>
      <c r="Y44" s="32">
        <v>1</v>
      </c>
      <c r="Z44" s="32">
        <v>18</v>
      </c>
      <c r="AA44" s="32">
        <v>2</v>
      </c>
      <c r="AB44" s="32">
        <v>69</v>
      </c>
      <c r="AC44" s="32">
        <v>44</v>
      </c>
      <c r="AD44" s="32">
        <v>17</v>
      </c>
      <c r="AE44" s="32">
        <v>21</v>
      </c>
      <c r="AF44" s="32">
        <v>24</v>
      </c>
      <c r="AG44" s="32">
        <v>17</v>
      </c>
      <c r="AH44" s="32">
        <v>16</v>
      </c>
      <c r="AI44" s="32">
        <v>18</v>
      </c>
      <c r="AJ44" s="32">
        <v>24</v>
      </c>
      <c r="AK44" s="32">
        <v>5</v>
      </c>
      <c r="AL44" s="32">
        <v>11</v>
      </c>
      <c r="AM44" s="33"/>
      <c r="AN44" s="5">
        <f>SUM($C44:AM44)</f>
        <v>922</v>
      </c>
      <c r="AO44" t="str">
        <f>" 60～69歳（ n = "&amp;B44&amp;"）"</f>
        <v xml:space="preserve"> 60～69歳（ n = 352）</v>
      </c>
    </row>
    <row r="45" spans="1:41" x14ac:dyDescent="0.2">
      <c r="A45" s="270"/>
      <c r="B45" s="35">
        <f>'問9S（表）'!B47</f>
        <v>21.782178217821784</v>
      </c>
      <c r="C45" s="20">
        <f t="shared" ref="C45:AL45" si="24">C44/$B$44*100</f>
        <v>28.125</v>
      </c>
      <c r="D45" s="207">
        <f t="shared" si="24"/>
        <v>11.931818181818182</v>
      </c>
      <c r="E45" s="207">
        <f t="shared" si="24"/>
        <v>3.4090909090909087</v>
      </c>
      <c r="F45" s="207">
        <f t="shared" si="24"/>
        <v>15.340909090909092</v>
      </c>
      <c r="G45" s="207">
        <f t="shared" si="24"/>
        <v>1.9886363636363635</v>
      </c>
      <c r="H45" s="207">
        <f t="shared" si="24"/>
        <v>14.204545454545455</v>
      </c>
      <c r="I45" s="207">
        <f t="shared" si="24"/>
        <v>6.25</v>
      </c>
      <c r="J45" s="207">
        <f t="shared" si="24"/>
        <v>17.329545454545457</v>
      </c>
      <c r="K45" s="207">
        <f t="shared" si="24"/>
        <v>8.8068181818181817</v>
      </c>
      <c r="L45" s="207">
        <f t="shared" si="24"/>
        <v>5.6818181818181817</v>
      </c>
      <c r="M45" s="207">
        <f t="shared" si="24"/>
        <v>0.85227272727272718</v>
      </c>
      <c r="N45" s="207">
        <f t="shared" si="24"/>
        <v>20.454545454545457</v>
      </c>
      <c r="O45" s="207">
        <f t="shared" si="24"/>
        <v>7.1022727272727275</v>
      </c>
      <c r="P45" s="207">
        <f t="shared" si="24"/>
        <v>1.4204545454545454</v>
      </c>
      <c r="Q45" s="207">
        <f t="shared" si="24"/>
        <v>11.079545454545455</v>
      </c>
      <c r="R45" s="207">
        <f t="shared" si="24"/>
        <v>3.4090909090909087</v>
      </c>
      <c r="S45" s="207">
        <f t="shared" si="24"/>
        <v>3.4090909090909087</v>
      </c>
      <c r="T45" s="207">
        <f t="shared" si="24"/>
        <v>1.9886363636363635</v>
      </c>
      <c r="U45" s="207">
        <f t="shared" si="24"/>
        <v>13.068181818181818</v>
      </c>
      <c r="V45" s="207">
        <f t="shared" si="24"/>
        <v>2.5568181818181821</v>
      </c>
      <c r="W45" s="207">
        <f t="shared" si="24"/>
        <v>1.4204545454545454</v>
      </c>
      <c r="X45" s="207">
        <f t="shared" si="24"/>
        <v>0.56818181818181823</v>
      </c>
      <c r="Y45" s="207">
        <f t="shared" si="24"/>
        <v>0.28409090909090912</v>
      </c>
      <c r="Z45" s="207">
        <f t="shared" si="24"/>
        <v>5.1136363636363642</v>
      </c>
      <c r="AA45" s="207">
        <f t="shared" si="24"/>
        <v>0.56818181818181823</v>
      </c>
      <c r="AB45" s="207">
        <f t="shared" si="24"/>
        <v>19.602272727272727</v>
      </c>
      <c r="AC45" s="207">
        <f t="shared" si="24"/>
        <v>12.5</v>
      </c>
      <c r="AD45" s="207">
        <f t="shared" si="24"/>
        <v>4.8295454545454541</v>
      </c>
      <c r="AE45" s="207">
        <f t="shared" si="24"/>
        <v>5.9659090909090908</v>
      </c>
      <c r="AF45" s="207">
        <f t="shared" si="24"/>
        <v>6.8181818181818175</v>
      </c>
      <c r="AG45" s="207">
        <f t="shared" si="24"/>
        <v>4.8295454545454541</v>
      </c>
      <c r="AH45" s="207">
        <f t="shared" si="24"/>
        <v>4.5454545454545459</v>
      </c>
      <c r="AI45" s="207">
        <f t="shared" si="24"/>
        <v>5.1136363636363642</v>
      </c>
      <c r="AJ45" s="207">
        <f t="shared" si="24"/>
        <v>6.8181818181818175</v>
      </c>
      <c r="AK45" s="207">
        <f t="shared" si="24"/>
        <v>1.4204545454545454</v>
      </c>
      <c r="AL45" s="207">
        <f t="shared" si="24"/>
        <v>3.125</v>
      </c>
      <c r="AM45" s="208"/>
      <c r="AN45" s="195"/>
    </row>
    <row r="46" spans="1:41" x14ac:dyDescent="0.2">
      <c r="A46" s="269" t="str">
        <f>'問9S（表）'!A48</f>
        <v>70歳以上(n = 315 )　　</v>
      </c>
      <c r="B46" s="34">
        <f>'問9S（表）'!B48</f>
        <v>315</v>
      </c>
      <c r="C46" s="31">
        <v>88</v>
      </c>
      <c r="D46" s="32">
        <v>27</v>
      </c>
      <c r="E46" s="32">
        <v>8</v>
      </c>
      <c r="F46" s="32">
        <v>68</v>
      </c>
      <c r="G46" s="32">
        <v>8</v>
      </c>
      <c r="H46" s="32">
        <v>60</v>
      </c>
      <c r="I46" s="32">
        <v>29</v>
      </c>
      <c r="J46" s="32">
        <v>73</v>
      </c>
      <c r="K46" s="32">
        <v>53</v>
      </c>
      <c r="L46" s="32">
        <v>23</v>
      </c>
      <c r="M46" s="32">
        <v>4</v>
      </c>
      <c r="N46" s="32">
        <v>76</v>
      </c>
      <c r="O46" s="32">
        <v>22</v>
      </c>
      <c r="P46" s="32">
        <v>4</v>
      </c>
      <c r="Q46" s="32">
        <v>30</v>
      </c>
      <c r="R46" s="32">
        <v>12</v>
      </c>
      <c r="S46" s="32">
        <v>10</v>
      </c>
      <c r="T46" s="32">
        <v>8</v>
      </c>
      <c r="U46" s="32">
        <v>39</v>
      </c>
      <c r="V46" s="32">
        <v>4</v>
      </c>
      <c r="W46" s="32">
        <v>4</v>
      </c>
      <c r="X46" s="32">
        <v>5</v>
      </c>
      <c r="Y46" s="32">
        <v>1</v>
      </c>
      <c r="Z46" s="32">
        <v>18</v>
      </c>
      <c r="AA46" s="32">
        <v>3</v>
      </c>
      <c r="AB46" s="32">
        <v>59</v>
      </c>
      <c r="AC46" s="32">
        <v>36</v>
      </c>
      <c r="AD46" s="32">
        <v>12</v>
      </c>
      <c r="AE46" s="32">
        <v>16</v>
      </c>
      <c r="AF46" s="32">
        <v>16</v>
      </c>
      <c r="AG46" s="32">
        <v>18</v>
      </c>
      <c r="AH46" s="32">
        <v>18</v>
      </c>
      <c r="AI46" s="32">
        <v>14</v>
      </c>
      <c r="AJ46" s="32">
        <v>31</v>
      </c>
      <c r="AK46" s="32">
        <v>6</v>
      </c>
      <c r="AL46" s="32">
        <v>8</v>
      </c>
      <c r="AM46" s="33"/>
      <c r="AN46" s="5">
        <f>SUM($C46:AM46)</f>
        <v>911</v>
      </c>
      <c r="AO46" t="str">
        <f>" 70歳以上（ n = "&amp;B46&amp;"）"</f>
        <v xml:space="preserve"> 70歳以上（ n = 315）</v>
      </c>
    </row>
    <row r="47" spans="1:41" x14ac:dyDescent="0.2">
      <c r="A47" s="270"/>
      <c r="B47" s="35">
        <f>'問9S（表）'!B49</f>
        <v>19.492574257425744</v>
      </c>
      <c r="C47" s="20">
        <f t="shared" ref="C47:AL47" si="25">C46/$B$46*100</f>
        <v>27.936507936507937</v>
      </c>
      <c r="D47" s="207">
        <f t="shared" si="25"/>
        <v>8.5714285714285712</v>
      </c>
      <c r="E47" s="207">
        <f t="shared" si="25"/>
        <v>2.5396825396825395</v>
      </c>
      <c r="F47" s="207">
        <f t="shared" si="25"/>
        <v>21.587301587301589</v>
      </c>
      <c r="G47" s="207">
        <f t="shared" si="25"/>
        <v>2.5396825396825395</v>
      </c>
      <c r="H47" s="207">
        <f t="shared" si="25"/>
        <v>19.047619047619047</v>
      </c>
      <c r="I47" s="207">
        <f t="shared" si="25"/>
        <v>9.2063492063492074</v>
      </c>
      <c r="J47" s="207">
        <f t="shared" si="25"/>
        <v>23.174603174603174</v>
      </c>
      <c r="K47" s="207">
        <f t="shared" si="25"/>
        <v>16.825396825396826</v>
      </c>
      <c r="L47" s="207">
        <f t="shared" si="25"/>
        <v>7.3015873015873023</v>
      </c>
      <c r="M47" s="207">
        <f t="shared" si="25"/>
        <v>1.2698412698412698</v>
      </c>
      <c r="N47" s="207">
        <f t="shared" si="25"/>
        <v>24.126984126984127</v>
      </c>
      <c r="O47" s="207">
        <f t="shared" si="25"/>
        <v>6.9841269841269842</v>
      </c>
      <c r="P47" s="207">
        <f t="shared" si="25"/>
        <v>1.2698412698412698</v>
      </c>
      <c r="Q47" s="207">
        <f t="shared" si="25"/>
        <v>9.5238095238095237</v>
      </c>
      <c r="R47" s="207">
        <f t="shared" si="25"/>
        <v>3.8095238095238098</v>
      </c>
      <c r="S47" s="207">
        <f t="shared" si="25"/>
        <v>3.1746031746031744</v>
      </c>
      <c r="T47" s="207">
        <f t="shared" si="25"/>
        <v>2.5396825396825395</v>
      </c>
      <c r="U47" s="207">
        <f t="shared" si="25"/>
        <v>12.380952380952381</v>
      </c>
      <c r="V47" s="207">
        <f t="shared" si="25"/>
        <v>1.2698412698412698</v>
      </c>
      <c r="W47" s="207">
        <f t="shared" si="25"/>
        <v>1.2698412698412698</v>
      </c>
      <c r="X47" s="207">
        <f t="shared" si="25"/>
        <v>1.5873015873015872</v>
      </c>
      <c r="Y47" s="207">
        <f t="shared" si="25"/>
        <v>0.31746031746031744</v>
      </c>
      <c r="Z47" s="207">
        <f t="shared" si="25"/>
        <v>5.7142857142857144</v>
      </c>
      <c r="AA47" s="207">
        <f t="shared" si="25"/>
        <v>0.95238095238095244</v>
      </c>
      <c r="AB47" s="207">
        <f t="shared" si="25"/>
        <v>18.730158730158731</v>
      </c>
      <c r="AC47" s="207">
        <f t="shared" si="25"/>
        <v>11.428571428571429</v>
      </c>
      <c r="AD47" s="207">
        <f t="shared" si="25"/>
        <v>3.8095238095238098</v>
      </c>
      <c r="AE47" s="207">
        <f t="shared" si="25"/>
        <v>5.0793650793650791</v>
      </c>
      <c r="AF47" s="207">
        <f t="shared" si="25"/>
        <v>5.0793650793650791</v>
      </c>
      <c r="AG47" s="207">
        <f t="shared" si="25"/>
        <v>5.7142857142857144</v>
      </c>
      <c r="AH47" s="207">
        <f t="shared" si="25"/>
        <v>5.7142857142857144</v>
      </c>
      <c r="AI47" s="207">
        <f t="shared" si="25"/>
        <v>4.4444444444444446</v>
      </c>
      <c r="AJ47" s="207">
        <f t="shared" si="25"/>
        <v>9.8412698412698418</v>
      </c>
      <c r="AK47" s="207">
        <f t="shared" si="25"/>
        <v>1.9047619047619049</v>
      </c>
      <c r="AL47" s="207">
        <f t="shared" si="25"/>
        <v>2.5396825396825395</v>
      </c>
      <c r="AM47" s="208"/>
      <c r="AN47" s="195"/>
    </row>
    <row r="48" spans="1:41" s="186" customFormat="1" x14ac:dyDescent="0.2">
      <c r="A48" s="184"/>
      <c r="B48" s="182"/>
      <c r="C48" s="182">
        <f t="shared" ref="C48:AL48" si="26">_xlfn.RANK.EQ(C33,$C$33:$AL$33,0)</f>
        <v>1</v>
      </c>
      <c r="D48" s="182">
        <f t="shared" si="26"/>
        <v>8</v>
      </c>
      <c r="E48" s="182">
        <f t="shared" si="26"/>
        <v>25</v>
      </c>
      <c r="F48" s="182">
        <f t="shared" si="26"/>
        <v>9</v>
      </c>
      <c r="G48" s="182">
        <f t="shared" si="26"/>
        <v>31</v>
      </c>
      <c r="H48" s="182">
        <f t="shared" si="26"/>
        <v>6</v>
      </c>
      <c r="I48" s="182">
        <f t="shared" si="26"/>
        <v>14</v>
      </c>
      <c r="J48" s="182">
        <f t="shared" si="26"/>
        <v>4</v>
      </c>
      <c r="K48" s="182">
        <f t="shared" si="26"/>
        <v>11</v>
      </c>
      <c r="L48" s="182">
        <f t="shared" si="26"/>
        <v>17</v>
      </c>
      <c r="M48" s="182">
        <f t="shared" si="26"/>
        <v>32</v>
      </c>
      <c r="N48" s="182">
        <f t="shared" si="26"/>
        <v>3</v>
      </c>
      <c r="O48" s="182">
        <f t="shared" si="26"/>
        <v>16</v>
      </c>
      <c r="P48" s="182">
        <f t="shared" si="26"/>
        <v>28</v>
      </c>
      <c r="Q48" s="182">
        <f t="shared" si="26"/>
        <v>5</v>
      </c>
      <c r="R48" s="182">
        <f t="shared" si="26"/>
        <v>22</v>
      </c>
      <c r="S48" s="182">
        <f t="shared" si="26"/>
        <v>26</v>
      </c>
      <c r="T48" s="182">
        <f t="shared" si="26"/>
        <v>29</v>
      </c>
      <c r="U48" s="182">
        <f t="shared" si="26"/>
        <v>10</v>
      </c>
      <c r="V48" s="182">
        <f t="shared" si="26"/>
        <v>27</v>
      </c>
      <c r="W48" s="182">
        <f t="shared" si="26"/>
        <v>35</v>
      </c>
      <c r="X48" s="182">
        <f t="shared" si="26"/>
        <v>36</v>
      </c>
      <c r="Y48" s="182">
        <f t="shared" si="26"/>
        <v>32</v>
      </c>
      <c r="Z48" s="182">
        <f t="shared" si="26"/>
        <v>20</v>
      </c>
      <c r="AA48" s="182">
        <f t="shared" si="26"/>
        <v>34</v>
      </c>
      <c r="AB48" s="182">
        <f t="shared" si="26"/>
        <v>2</v>
      </c>
      <c r="AC48" s="182">
        <f t="shared" si="26"/>
        <v>7</v>
      </c>
      <c r="AD48" s="182">
        <f t="shared" si="26"/>
        <v>21</v>
      </c>
      <c r="AE48" s="182">
        <f t="shared" si="26"/>
        <v>19</v>
      </c>
      <c r="AF48" s="182">
        <f t="shared" si="26"/>
        <v>12</v>
      </c>
      <c r="AG48" s="182">
        <f t="shared" si="26"/>
        <v>13</v>
      </c>
      <c r="AH48" s="182">
        <f t="shared" si="26"/>
        <v>23</v>
      </c>
      <c r="AI48" s="182">
        <f t="shared" si="26"/>
        <v>18</v>
      </c>
      <c r="AJ48" s="182">
        <f t="shared" si="26"/>
        <v>15</v>
      </c>
      <c r="AK48" s="182">
        <f t="shared" si="26"/>
        <v>30</v>
      </c>
      <c r="AL48" s="182">
        <f t="shared" si="26"/>
        <v>24</v>
      </c>
      <c r="AM48" s="182"/>
      <c r="AN48" s="182"/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22"/>
      <c r="C50" s="182">
        <v>1</v>
      </c>
      <c r="D50" s="182">
        <v>2</v>
      </c>
      <c r="E50" s="182">
        <v>3</v>
      </c>
      <c r="F50" s="182">
        <v>4</v>
      </c>
      <c r="G50" s="182">
        <v>4</v>
      </c>
      <c r="H50" s="182">
        <v>6</v>
      </c>
      <c r="I50" s="182">
        <v>7</v>
      </c>
      <c r="J50" s="182">
        <v>8</v>
      </c>
      <c r="K50" s="182">
        <v>9</v>
      </c>
      <c r="L50" s="182">
        <v>10</v>
      </c>
      <c r="M50" s="182">
        <v>11</v>
      </c>
      <c r="N50" s="182">
        <v>12</v>
      </c>
      <c r="O50" s="182">
        <v>13</v>
      </c>
      <c r="P50" s="182">
        <v>14</v>
      </c>
      <c r="Q50" s="182">
        <v>15</v>
      </c>
      <c r="R50" s="182">
        <v>16</v>
      </c>
      <c r="S50" s="182">
        <v>17</v>
      </c>
      <c r="T50" s="182">
        <v>18</v>
      </c>
      <c r="U50" s="182">
        <v>19</v>
      </c>
      <c r="V50" s="182">
        <v>19</v>
      </c>
      <c r="W50" s="182">
        <v>21</v>
      </c>
      <c r="X50" s="182">
        <v>22</v>
      </c>
      <c r="Y50" s="182">
        <v>23</v>
      </c>
      <c r="Z50" s="182">
        <v>24</v>
      </c>
      <c r="AA50" s="182">
        <v>25</v>
      </c>
      <c r="AB50" s="182">
        <v>26</v>
      </c>
      <c r="AC50" s="182">
        <v>27</v>
      </c>
      <c r="AD50" s="182">
        <v>28</v>
      </c>
      <c r="AE50" s="182">
        <v>29</v>
      </c>
      <c r="AF50" s="182">
        <v>30</v>
      </c>
      <c r="AG50" s="182">
        <v>31</v>
      </c>
      <c r="AH50" s="182">
        <v>31</v>
      </c>
      <c r="AI50" s="182">
        <v>33</v>
      </c>
      <c r="AJ50" s="197">
        <v>34</v>
      </c>
      <c r="AK50" s="197">
        <v>35</v>
      </c>
      <c r="AL50" s="197">
        <v>36</v>
      </c>
      <c r="AM50" s="197">
        <v>37</v>
      </c>
    </row>
    <row r="51" spans="1:40" ht="64.8" x14ac:dyDescent="0.2">
      <c r="A51" s="12" t="s">
        <v>59</v>
      </c>
      <c r="B51" s="59" t="s">
        <v>157</v>
      </c>
      <c r="C51" s="60" t="s">
        <v>369</v>
      </c>
      <c r="D51" s="61" t="s">
        <v>368</v>
      </c>
      <c r="E51" s="61" t="s">
        <v>367</v>
      </c>
      <c r="F51" s="61" t="s">
        <v>366</v>
      </c>
      <c r="G51" s="61" t="s">
        <v>365</v>
      </c>
      <c r="H51" s="61" t="s">
        <v>364</v>
      </c>
      <c r="I51" s="61" t="s">
        <v>363</v>
      </c>
      <c r="J51" s="61" t="s">
        <v>362</v>
      </c>
      <c r="K51" s="61" t="s">
        <v>361</v>
      </c>
      <c r="L51" s="61" t="s">
        <v>360</v>
      </c>
      <c r="M51" s="61" t="s">
        <v>359</v>
      </c>
      <c r="N51" s="61" t="s">
        <v>358</v>
      </c>
      <c r="O51" s="61" t="s">
        <v>357</v>
      </c>
      <c r="P51" s="61" t="s">
        <v>356</v>
      </c>
      <c r="Q51" s="61" t="s">
        <v>355</v>
      </c>
      <c r="R51" s="61" t="s">
        <v>354</v>
      </c>
      <c r="S51" s="61" t="s">
        <v>353</v>
      </c>
      <c r="T51" s="61" t="s">
        <v>352</v>
      </c>
      <c r="U51" s="61" t="s">
        <v>351</v>
      </c>
      <c r="V51" s="61" t="s">
        <v>350</v>
      </c>
      <c r="W51" s="61" t="s">
        <v>349</v>
      </c>
      <c r="X51" s="61" t="s">
        <v>348</v>
      </c>
      <c r="Y51" s="61" t="s">
        <v>347</v>
      </c>
      <c r="Z51" s="61" t="s">
        <v>346</v>
      </c>
      <c r="AA51" s="61" t="s">
        <v>345</v>
      </c>
      <c r="AB51" s="61" t="s">
        <v>344</v>
      </c>
      <c r="AC51" s="61" t="s">
        <v>343</v>
      </c>
      <c r="AD51" s="61" t="s">
        <v>342</v>
      </c>
      <c r="AE51" s="61" t="s">
        <v>341</v>
      </c>
      <c r="AF51" s="61" t="s">
        <v>340</v>
      </c>
      <c r="AG51" s="61" t="s">
        <v>339</v>
      </c>
      <c r="AH51" s="61" t="s">
        <v>338</v>
      </c>
      <c r="AI51" s="61" t="s">
        <v>337</v>
      </c>
      <c r="AJ51" s="61" t="s">
        <v>336</v>
      </c>
      <c r="AK51" s="61" t="s">
        <v>335</v>
      </c>
      <c r="AL51" s="61" t="s">
        <v>334</v>
      </c>
      <c r="AM51" s="63"/>
      <c r="AN51" s="5" t="s">
        <v>118</v>
      </c>
    </row>
    <row r="52" spans="1:40" x14ac:dyDescent="0.2">
      <c r="A52" s="269" t="str">
        <f>A32</f>
        <v>全体(n = 1,616 )　　</v>
      </c>
      <c r="B52" s="224" t="str">
        <f>B32</f>
        <v>1,616</v>
      </c>
      <c r="C52" s="121">
        <v>453</v>
      </c>
      <c r="D52" s="122">
        <v>296</v>
      </c>
      <c r="E52" s="122">
        <v>287</v>
      </c>
      <c r="F52" s="122">
        <v>284</v>
      </c>
      <c r="G52" s="122">
        <v>248</v>
      </c>
      <c r="H52" s="122">
        <v>237</v>
      </c>
      <c r="I52" s="122">
        <v>213</v>
      </c>
      <c r="J52" s="122">
        <v>203</v>
      </c>
      <c r="K52" s="122">
        <v>194</v>
      </c>
      <c r="L52" s="122">
        <v>180</v>
      </c>
      <c r="M52" s="122">
        <v>178</v>
      </c>
      <c r="N52" s="122">
        <v>136</v>
      </c>
      <c r="O52" s="122">
        <v>134</v>
      </c>
      <c r="P52" s="122">
        <v>127</v>
      </c>
      <c r="Q52" s="122">
        <v>123</v>
      </c>
      <c r="R52" s="122">
        <v>100</v>
      </c>
      <c r="S52" s="122">
        <v>97</v>
      </c>
      <c r="T52" s="122">
        <v>94</v>
      </c>
      <c r="U52" s="122">
        <v>91</v>
      </c>
      <c r="V52" s="154">
        <v>76</v>
      </c>
      <c r="W52" s="122">
        <v>75</v>
      </c>
      <c r="X52" s="122">
        <v>71</v>
      </c>
      <c r="Y52" s="122">
        <v>64</v>
      </c>
      <c r="Z52" s="122">
        <v>57</v>
      </c>
      <c r="AA52" s="122">
        <v>55</v>
      </c>
      <c r="AB52" s="122">
        <v>48</v>
      </c>
      <c r="AC52" s="122">
        <v>38</v>
      </c>
      <c r="AD52" s="122">
        <v>37</v>
      </c>
      <c r="AE52" s="122">
        <v>35</v>
      </c>
      <c r="AF52" s="122">
        <v>30</v>
      </c>
      <c r="AG52" s="122">
        <v>29</v>
      </c>
      <c r="AH52" s="122">
        <v>23</v>
      </c>
      <c r="AI52" s="122">
        <v>23</v>
      </c>
      <c r="AJ52" s="122">
        <v>21</v>
      </c>
      <c r="AK52" s="122">
        <v>18</v>
      </c>
      <c r="AL52" s="122">
        <v>12</v>
      </c>
      <c r="AM52" s="124"/>
      <c r="AN52" s="5">
        <f>SUM(C52:AM52)</f>
        <v>4387</v>
      </c>
    </row>
    <row r="53" spans="1:40" x14ac:dyDescent="0.2">
      <c r="A53" s="270"/>
      <c r="B53" s="114">
        <f t="shared" ref="B53:B67" si="27">B33</f>
        <v>100</v>
      </c>
      <c r="C53" s="125">
        <v>28.032178217821784</v>
      </c>
      <c r="D53" s="126">
        <v>18.316831683168317</v>
      </c>
      <c r="E53" s="126">
        <v>17.759900990099009</v>
      </c>
      <c r="F53" s="126">
        <v>17.574257425742573</v>
      </c>
      <c r="G53" s="126">
        <v>15.346534653465346</v>
      </c>
      <c r="H53" s="126">
        <v>14.665841584158414</v>
      </c>
      <c r="I53" s="126">
        <v>13.180693069306932</v>
      </c>
      <c r="J53" s="126">
        <v>12.561881188118813</v>
      </c>
      <c r="K53" s="126">
        <v>12.004950495049505</v>
      </c>
      <c r="L53" s="126">
        <v>11.138613861386139</v>
      </c>
      <c r="M53" s="126">
        <v>11.014851485148515</v>
      </c>
      <c r="N53" s="126">
        <v>8.4158415841584162</v>
      </c>
      <c r="O53" s="126">
        <v>8.2920792079207928</v>
      </c>
      <c r="P53" s="126">
        <v>7.858910891089109</v>
      </c>
      <c r="Q53" s="126">
        <v>7.6113861386138613</v>
      </c>
      <c r="R53" s="126">
        <v>6.1881188118811883</v>
      </c>
      <c r="S53" s="126">
        <v>6.0024752475247523</v>
      </c>
      <c r="T53" s="126">
        <v>5.8168316831683171</v>
      </c>
      <c r="U53" s="126">
        <v>5.6311881188118811</v>
      </c>
      <c r="V53" s="142">
        <v>4.7029702970297027</v>
      </c>
      <c r="W53" s="126">
        <v>4.641089108910891</v>
      </c>
      <c r="X53" s="126">
        <v>4.3935643564356432</v>
      </c>
      <c r="Y53" s="126">
        <v>3.9603960396039604</v>
      </c>
      <c r="Z53" s="126">
        <v>3.527227722772277</v>
      </c>
      <c r="AA53" s="126">
        <v>3.4034653465346536</v>
      </c>
      <c r="AB53" s="126">
        <v>2.9702970297029703</v>
      </c>
      <c r="AC53" s="126">
        <v>2.3514851485148514</v>
      </c>
      <c r="AD53" s="126">
        <v>2.2896039603960396</v>
      </c>
      <c r="AE53" s="126">
        <v>2.1658415841584158</v>
      </c>
      <c r="AF53" s="126">
        <v>1.8564356435643563</v>
      </c>
      <c r="AG53" s="126">
        <v>1.7945544554455444</v>
      </c>
      <c r="AH53" s="126">
        <v>1.4232673267326734</v>
      </c>
      <c r="AI53" s="126">
        <v>1.4232673267326734</v>
      </c>
      <c r="AJ53" s="126">
        <v>1.2995049504950495</v>
      </c>
      <c r="AK53" s="126">
        <v>1.1138613861386137</v>
      </c>
      <c r="AL53" s="126">
        <v>0.74257425742574257</v>
      </c>
      <c r="AM53" s="128"/>
      <c r="AN53" s="195"/>
    </row>
    <row r="54" spans="1:40" x14ac:dyDescent="0.2">
      <c r="A54" s="269" t="str">
        <f>A34</f>
        <v>18～19歳(n = 21 )　　</v>
      </c>
      <c r="B54" s="113">
        <f t="shared" si="27"/>
        <v>21</v>
      </c>
      <c r="C54" s="129">
        <v>7</v>
      </c>
      <c r="D54" s="130">
        <v>3</v>
      </c>
      <c r="E54" s="130">
        <v>3</v>
      </c>
      <c r="F54" s="130">
        <v>2</v>
      </c>
      <c r="G54" s="130">
        <v>0</v>
      </c>
      <c r="H54" s="130">
        <v>4</v>
      </c>
      <c r="I54" s="130">
        <v>5</v>
      </c>
      <c r="J54" s="130">
        <v>1</v>
      </c>
      <c r="K54" s="130">
        <v>1</v>
      </c>
      <c r="L54" s="130">
        <v>3</v>
      </c>
      <c r="M54" s="130">
        <v>2</v>
      </c>
      <c r="N54" s="130">
        <v>3</v>
      </c>
      <c r="O54" s="130">
        <v>5</v>
      </c>
      <c r="P54" s="130">
        <v>3</v>
      </c>
      <c r="Q54" s="130">
        <v>0</v>
      </c>
      <c r="R54" s="130">
        <v>3</v>
      </c>
      <c r="S54" s="130">
        <v>1</v>
      </c>
      <c r="T54" s="130">
        <v>3</v>
      </c>
      <c r="U54" s="130">
        <v>1</v>
      </c>
      <c r="V54" s="141">
        <v>1</v>
      </c>
      <c r="W54" s="130">
        <v>3</v>
      </c>
      <c r="X54" s="130">
        <v>0</v>
      </c>
      <c r="Y54" s="130">
        <v>2</v>
      </c>
      <c r="Z54" s="130">
        <v>1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1</v>
      </c>
      <c r="AJ54" s="130">
        <v>1</v>
      </c>
      <c r="AK54" s="130">
        <v>0</v>
      </c>
      <c r="AL54" s="130">
        <v>0</v>
      </c>
      <c r="AM54" s="131"/>
      <c r="AN54" s="5">
        <f>SUM(C54:AM54)</f>
        <v>59</v>
      </c>
    </row>
    <row r="55" spans="1:40" x14ac:dyDescent="0.2">
      <c r="A55" s="270"/>
      <c r="B55" s="114">
        <f t="shared" si="27"/>
        <v>1.2995049504950495</v>
      </c>
      <c r="C55" s="125">
        <v>33.333333333333329</v>
      </c>
      <c r="D55" s="126">
        <v>14.285714285714285</v>
      </c>
      <c r="E55" s="126">
        <v>14.285714285714285</v>
      </c>
      <c r="F55" s="126">
        <v>9.5238095238095237</v>
      </c>
      <c r="G55" s="126">
        <v>0</v>
      </c>
      <c r="H55" s="126">
        <v>19.047619047619047</v>
      </c>
      <c r="I55" s="126">
        <v>23.809523809523807</v>
      </c>
      <c r="J55" s="126">
        <v>4.7619047619047619</v>
      </c>
      <c r="K55" s="126">
        <v>4.7619047619047619</v>
      </c>
      <c r="L55" s="126">
        <v>14.285714285714285</v>
      </c>
      <c r="M55" s="126">
        <v>9.5238095238095237</v>
      </c>
      <c r="N55" s="126">
        <v>14.285714285714285</v>
      </c>
      <c r="O55" s="126">
        <v>23.809523809523807</v>
      </c>
      <c r="P55" s="126">
        <v>14.285714285714285</v>
      </c>
      <c r="Q55" s="126">
        <v>0</v>
      </c>
      <c r="R55" s="126">
        <v>14.285714285714285</v>
      </c>
      <c r="S55" s="126">
        <v>4.7619047619047619</v>
      </c>
      <c r="T55" s="126">
        <v>14.285714285714285</v>
      </c>
      <c r="U55" s="126">
        <v>4.7619047619047619</v>
      </c>
      <c r="V55" s="142">
        <v>4.7619047619047619</v>
      </c>
      <c r="W55" s="126">
        <v>14.285714285714285</v>
      </c>
      <c r="X55" s="126">
        <v>0</v>
      </c>
      <c r="Y55" s="126">
        <v>9.5238095238095237</v>
      </c>
      <c r="Z55" s="126">
        <v>4.7619047619047619</v>
      </c>
      <c r="AA55" s="126">
        <v>0</v>
      </c>
      <c r="AB55" s="126">
        <v>0</v>
      </c>
      <c r="AC55" s="126">
        <v>0</v>
      </c>
      <c r="AD55" s="126">
        <v>0</v>
      </c>
      <c r="AE55" s="126">
        <v>0</v>
      </c>
      <c r="AF55" s="126">
        <v>0</v>
      </c>
      <c r="AG55" s="126">
        <v>0</v>
      </c>
      <c r="AH55" s="126">
        <v>0</v>
      </c>
      <c r="AI55" s="126">
        <v>4.7619047619047619</v>
      </c>
      <c r="AJ55" s="126">
        <v>4.7619047619047619</v>
      </c>
      <c r="AK55" s="126">
        <v>0</v>
      </c>
      <c r="AL55" s="126">
        <v>0</v>
      </c>
      <c r="AM55" s="128"/>
      <c r="AN55" s="195"/>
    </row>
    <row r="56" spans="1:40" x14ac:dyDescent="0.2">
      <c r="A56" s="269" t="str">
        <f>A36</f>
        <v>20～29歳(n = 119 )　　</v>
      </c>
      <c r="B56" s="113">
        <f t="shared" si="27"/>
        <v>119</v>
      </c>
      <c r="C56" s="129">
        <v>36</v>
      </c>
      <c r="D56" s="130">
        <v>16</v>
      </c>
      <c r="E56" s="130">
        <v>16</v>
      </c>
      <c r="F56" s="130">
        <v>20</v>
      </c>
      <c r="G56" s="130">
        <v>9</v>
      </c>
      <c r="H56" s="130">
        <v>25</v>
      </c>
      <c r="I56" s="130">
        <v>14</v>
      </c>
      <c r="J56" s="130">
        <v>22</v>
      </c>
      <c r="K56" s="130">
        <v>13</v>
      </c>
      <c r="L56" s="130">
        <v>12</v>
      </c>
      <c r="M56" s="130">
        <v>11</v>
      </c>
      <c r="N56" s="130">
        <v>14</v>
      </c>
      <c r="O56" s="130">
        <v>16</v>
      </c>
      <c r="P56" s="130">
        <v>8</v>
      </c>
      <c r="Q56" s="130">
        <v>5</v>
      </c>
      <c r="R56" s="130">
        <v>7</v>
      </c>
      <c r="S56" s="130">
        <v>8</v>
      </c>
      <c r="T56" s="130">
        <v>11</v>
      </c>
      <c r="U56" s="130">
        <v>13</v>
      </c>
      <c r="V56" s="141">
        <v>6</v>
      </c>
      <c r="W56" s="130">
        <v>5</v>
      </c>
      <c r="X56" s="130">
        <v>5</v>
      </c>
      <c r="Y56" s="130">
        <v>5</v>
      </c>
      <c r="Z56" s="130">
        <v>3</v>
      </c>
      <c r="AA56" s="130">
        <v>8</v>
      </c>
      <c r="AB56" s="130">
        <v>0</v>
      </c>
      <c r="AC56" s="130">
        <v>3</v>
      </c>
      <c r="AD56" s="130">
        <v>3</v>
      </c>
      <c r="AE56" s="130">
        <v>3</v>
      </c>
      <c r="AF56" s="130">
        <v>2</v>
      </c>
      <c r="AG56" s="130">
        <v>3</v>
      </c>
      <c r="AH56" s="130">
        <v>5</v>
      </c>
      <c r="AI56" s="130">
        <v>2</v>
      </c>
      <c r="AJ56" s="130">
        <v>0</v>
      </c>
      <c r="AK56" s="130">
        <v>3</v>
      </c>
      <c r="AL56" s="130">
        <v>1</v>
      </c>
      <c r="AM56" s="131"/>
      <c r="AN56" s="5">
        <f>SUM(C56:AM56)</f>
        <v>333</v>
      </c>
    </row>
    <row r="57" spans="1:40" x14ac:dyDescent="0.2">
      <c r="A57" s="270"/>
      <c r="B57" s="114">
        <f t="shared" si="27"/>
        <v>7.3638613861386135</v>
      </c>
      <c r="C57" s="125">
        <v>30.252100840336134</v>
      </c>
      <c r="D57" s="126">
        <v>13.445378151260504</v>
      </c>
      <c r="E57" s="126">
        <v>13.445378151260504</v>
      </c>
      <c r="F57" s="126">
        <v>16.806722689075631</v>
      </c>
      <c r="G57" s="126">
        <v>7.5630252100840334</v>
      </c>
      <c r="H57" s="126">
        <v>21.008403361344538</v>
      </c>
      <c r="I57" s="126">
        <v>11.76470588235294</v>
      </c>
      <c r="J57" s="126">
        <v>18.487394957983195</v>
      </c>
      <c r="K57" s="126">
        <v>10.92436974789916</v>
      </c>
      <c r="L57" s="126">
        <v>10.084033613445378</v>
      </c>
      <c r="M57" s="126">
        <v>9.2436974789915975</v>
      </c>
      <c r="N57" s="126">
        <v>11.76470588235294</v>
      </c>
      <c r="O57" s="126">
        <v>13.445378151260504</v>
      </c>
      <c r="P57" s="126">
        <v>6.7226890756302522</v>
      </c>
      <c r="Q57" s="126">
        <v>4.2016806722689077</v>
      </c>
      <c r="R57" s="126">
        <v>5.8823529411764701</v>
      </c>
      <c r="S57" s="126">
        <v>6.7226890756302522</v>
      </c>
      <c r="T57" s="126">
        <v>9.2436974789915975</v>
      </c>
      <c r="U57" s="126">
        <v>10.92436974789916</v>
      </c>
      <c r="V57" s="142">
        <v>5.0420168067226889</v>
      </c>
      <c r="W57" s="126">
        <v>4.2016806722689077</v>
      </c>
      <c r="X57" s="126">
        <v>4.2016806722689077</v>
      </c>
      <c r="Y57" s="126">
        <v>4.2016806722689077</v>
      </c>
      <c r="Z57" s="126">
        <v>2.5210084033613445</v>
      </c>
      <c r="AA57" s="126">
        <v>6.7226890756302522</v>
      </c>
      <c r="AB57" s="126">
        <v>0</v>
      </c>
      <c r="AC57" s="126">
        <v>2.5210084033613445</v>
      </c>
      <c r="AD57" s="126">
        <v>2.5210084033613445</v>
      </c>
      <c r="AE57" s="126">
        <v>2.5210084033613445</v>
      </c>
      <c r="AF57" s="126">
        <v>1.680672268907563</v>
      </c>
      <c r="AG57" s="126">
        <v>2.5210084033613445</v>
      </c>
      <c r="AH57" s="126">
        <v>4.2016806722689077</v>
      </c>
      <c r="AI57" s="126">
        <v>1.680672268907563</v>
      </c>
      <c r="AJ57" s="126">
        <v>0</v>
      </c>
      <c r="AK57" s="126">
        <v>2.5210084033613445</v>
      </c>
      <c r="AL57" s="126">
        <v>0.84033613445378152</v>
      </c>
      <c r="AM57" s="128"/>
      <c r="AN57" s="195"/>
    </row>
    <row r="58" spans="1:40" x14ac:dyDescent="0.2">
      <c r="A58" s="269" t="str">
        <f>A38</f>
        <v>30～39歳(n = 196 )　　</v>
      </c>
      <c r="B58" s="113">
        <f t="shared" si="27"/>
        <v>196</v>
      </c>
      <c r="C58" s="129">
        <v>45</v>
      </c>
      <c r="D58" s="130">
        <v>35</v>
      </c>
      <c r="E58" s="130">
        <v>29</v>
      </c>
      <c r="F58" s="130">
        <v>33</v>
      </c>
      <c r="G58" s="130">
        <v>45</v>
      </c>
      <c r="H58" s="130">
        <v>23</v>
      </c>
      <c r="I58" s="130">
        <v>30</v>
      </c>
      <c r="J58" s="130">
        <v>36</v>
      </c>
      <c r="K58" s="130">
        <v>11</v>
      </c>
      <c r="L58" s="130">
        <v>15</v>
      </c>
      <c r="M58" s="130">
        <v>14</v>
      </c>
      <c r="N58" s="130">
        <v>24</v>
      </c>
      <c r="O58" s="130">
        <v>17</v>
      </c>
      <c r="P58" s="130">
        <v>10</v>
      </c>
      <c r="Q58" s="130">
        <v>12</v>
      </c>
      <c r="R58" s="130">
        <v>7</v>
      </c>
      <c r="S58" s="130">
        <v>11</v>
      </c>
      <c r="T58" s="130">
        <v>10</v>
      </c>
      <c r="U58" s="130">
        <v>10</v>
      </c>
      <c r="V58" s="141">
        <v>9</v>
      </c>
      <c r="W58" s="130">
        <v>6</v>
      </c>
      <c r="X58" s="130">
        <v>8</v>
      </c>
      <c r="Y58" s="130">
        <v>3</v>
      </c>
      <c r="Z58" s="130">
        <v>8</v>
      </c>
      <c r="AA58" s="130">
        <v>11</v>
      </c>
      <c r="AB58" s="130">
        <v>6</v>
      </c>
      <c r="AC58" s="130">
        <v>7</v>
      </c>
      <c r="AD58" s="130">
        <v>9</v>
      </c>
      <c r="AE58" s="130">
        <v>4</v>
      </c>
      <c r="AF58" s="130">
        <v>5</v>
      </c>
      <c r="AG58" s="130">
        <v>2</v>
      </c>
      <c r="AH58" s="130">
        <v>3</v>
      </c>
      <c r="AI58" s="130">
        <v>4</v>
      </c>
      <c r="AJ58" s="130">
        <v>2</v>
      </c>
      <c r="AK58" s="130">
        <v>3</v>
      </c>
      <c r="AL58" s="130">
        <v>1</v>
      </c>
      <c r="AM58" s="131"/>
      <c r="AN58" s="5">
        <f>SUM(C58:AM58)</f>
        <v>508</v>
      </c>
    </row>
    <row r="59" spans="1:40" x14ac:dyDescent="0.2">
      <c r="A59" s="270"/>
      <c r="B59" s="114">
        <f t="shared" si="27"/>
        <v>12.128712871287128</v>
      </c>
      <c r="C59" s="125">
        <v>22.95918367346939</v>
      </c>
      <c r="D59" s="126">
        <v>17.857142857142858</v>
      </c>
      <c r="E59" s="126">
        <v>14.795918367346939</v>
      </c>
      <c r="F59" s="126">
        <v>16.836734693877549</v>
      </c>
      <c r="G59" s="126">
        <v>22.95918367346939</v>
      </c>
      <c r="H59" s="126">
        <v>11.73469387755102</v>
      </c>
      <c r="I59" s="126">
        <v>15.306122448979592</v>
      </c>
      <c r="J59" s="126">
        <v>18.367346938775512</v>
      </c>
      <c r="K59" s="126">
        <v>5.6122448979591839</v>
      </c>
      <c r="L59" s="126">
        <v>7.6530612244897958</v>
      </c>
      <c r="M59" s="126">
        <v>7.1428571428571423</v>
      </c>
      <c r="N59" s="126">
        <v>12.244897959183673</v>
      </c>
      <c r="O59" s="126">
        <v>8.6734693877551017</v>
      </c>
      <c r="P59" s="126">
        <v>5.1020408163265305</v>
      </c>
      <c r="Q59" s="126">
        <v>6.1224489795918364</v>
      </c>
      <c r="R59" s="126">
        <v>3.5714285714285712</v>
      </c>
      <c r="S59" s="126">
        <v>5.6122448979591839</v>
      </c>
      <c r="T59" s="126">
        <v>5.1020408163265305</v>
      </c>
      <c r="U59" s="126">
        <v>5.1020408163265305</v>
      </c>
      <c r="V59" s="142">
        <v>4.591836734693878</v>
      </c>
      <c r="W59" s="126">
        <v>3.0612244897959182</v>
      </c>
      <c r="X59" s="126">
        <v>4.0816326530612246</v>
      </c>
      <c r="Y59" s="126">
        <v>1.5306122448979591</v>
      </c>
      <c r="Z59" s="126">
        <v>4.0816326530612246</v>
      </c>
      <c r="AA59" s="126">
        <v>5.6122448979591839</v>
      </c>
      <c r="AB59" s="126">
        <v>3.0612244897959182</v>
      </c>
      <c r="AC59" s="126">
        <v>3.5714285714285712</v>
      </c>
      <c r="AD59" s="126">
        <v>4.591836734693878</v>
      </c>
      <c r="AE59" s="126">
        <v>2.0408163265306123</v>
      </c>
      <c r="AF59" s="126">
        <v>2.5510204081632653</v>
      </c>
      <c r="AG59" s="126">
        <v>1.0204081632653061</v>
      </c>
      <c r="AH59" s="126">
        <v>1.5306122448979591</v>
      </c>
      <c r="AI59" s="126">
        <v>2.0408163265306123</v>
      </c>
      <c r="AJ59" s="126">
        <v>1.0204081632653061</v>
      </c>
      <c r="AK59" s="126">
        <v>1.5306122448979591</v>
      </c>
      <c r="AL59" s="126">
        <v>0.51020408163265307</v>
      </c>
      <c r="AM59" s="128"/>
      <c r="AN59" s="195"/>
    </row>
    <row r="60" spans="1:40" x14ac:dyDescent="0.2">
      <c r="A60" s="269" t="str">
        <f>A40</f>
        <v>40～49歳(n = 281 )　　</v>
      </c>
      <c r="B60" s="113">
        <f t="shared" si="27"/>
        <v>281</v>
      </c>
      <c r="C60" s="129">
        <v>83</v>
      </c>
      <c r="D60" s="130">
        <v>53</v>
      </c>
      <c r="E60" s="130">
        <v>37</v>
      </c>
      <c r="F60" s="130">
        <v>46</v>
      </c>
      <c r="G60" s="130">
        <v>74</v>
      </c>
      <c r="H60" s="130">
        <v>43</v>
      </c>
      <c r="I60" s="130">
        <v>40</v>
      </c>
      <c r="J60" s="130">
        <v>34</v>
      </c>
      <c r="K60" s="130">
        <v>21</v>
      </c>
      <c r="L60" s="130">
        <v>29</v>
      </c>
      <c r="M60" s="130">
        <v>27</v>
      </c>
      <c r="N60" s="130">
        <v>26</v>
      </c>
      <c r="O60" s="130">
        <v>38</v>
      </c>
      <c r="P60" s="130">
        <v>33</v>
      </c>
      <c r="Q60" s="130">
        <v>28</v>
      </c>
      <c r="R60" s="130">
        <v>13</v>
      </c>
      <c r="S60" s="130">
        <v>17</v>
      </c>
      <c r="T60" s="130">
        <v>19</v>
      </c>
      <c r="U60" s="130">
        <v>16</v>
      </c>
      <c r="V60" s="141">
        <v>11</v>
      </c>
      <c r="W60" s="130">
        <v>19</v>
      </c>
      <c r="X60" s="130">
        <v>13</v>
      </c>
      <c r="Y60" s="130">
        <v>12</v>
      </c>
      <c r="Z60" s="130">
        <v>16</v>
      </c>
      <c r="AA60" s="130">
        <v>7</v>
      </c>
      <c r="AB60" s="130">
        <v>9</v>
      </c>
      <c r="AC60" s="130">
        <v>7</v>
      </c>
      <c r="AD60" s="130">
        <v>6</v>
      </c>
      <c r="AE60" s="130">
        <v>6</v>
      </c>
      <c r="AF60" s="130">
        <v>7</v>
      </c>
      <c r="AG60" s="130">
        <v>5</v>
      </c>
      <c r="AH60" s="130">
        <v>7</v>
      </c>
      <c r="AI60" s="130">
        <v>7</v>
      </c>
      <c r="AJ60" s="130">
        <v>7</v>
      </c>
      <c r="AK60" s="130">
        <v>1</v>
      </c>
      <c r="AL60" s="130">
        <v>1</v>
      </c>
      <c r="AM60" s="131"/>
      <c r="AN60" s="5">
        <f>SUM(C60:AM60)</f>
        <v>818</v>
      </c>
    </row>
    <row r="61" spans="1:40" x14ac:dyDescent="0.2">
      <c r="A61" s="270"/>
      <c r="B61" s="114">
        <f t="shared" si="27"/>
        <v>17.388613861386137</v>
      </c>
      <c r="C61" s="125">
        <v>29.537366548042705</v>
      </c>
      <c r="D61" s="126">
        <v>18.861209964412812</v>
      </c>
      <c r="E61" s="126">
        <v>13.167259786476867</v>
      </c>
      <c r="F61" s="126">
        <v>16.370106761565836</v>
      </c>
      <c r="G61" s="126">
        <v>26.334519572953734</v>
      </c>
      <c r="H61" s="126">
        <v>15.302491103202847</v>
      </c>
      <c r="I61" s="126">
        <v>14.23487544483986</v>
      </c>
      <c r="J61" s="126">
        <v>12.099644128113878</v>
      </c>
      <c r="K61" s="126">
        <v>7.4733096085409247</v>
      </c>
      <c r="L61" s="126">
        <v>10.320284697508896</v>
      </c>
      <c r="M61" s="126">
        <v>9.6085409252669027</v>
      </c>
      <c r="N61" s="126">
        <v>9.252669039145907</v>
      </c>
      <c r="O61" s="126">
        <v>13.523131672597867</v>
      </c>
      <c r="P61" s="126">
        <v>11.743772241992882</v>
      </c>
      <c r="Q61" s="126">
        <v>9.9644128113879002</v>
      </c>
      <c r="R61" s="126">
        <v>4.6263345195729535</v>
      </c>
      <c r="S61" s="126">
        <v>6.0498220640569391</v>
      </c>
      <c r="T61" s="126">
        <v>6.7615658362989333</v>
      </c>
      <c r="U61" s="126">
        <v>5.6939501779359425</v>
      </c>
      <c r="V61" s="142">
        <v>3.9145907473309607</v>
      </c>
      <c r="W61" s="126">
        <v>6.7615658362989333</v>
      </c>
      <c r="X61" s="126">
        <v>4.6263345195729535</v>
      </c>
      <c r="Y61" s="126">
        <v>4.2704626334519578</v>
      </c>
      <c r="Z61" s="126">
        <v>5.6939501779359425</v>
      </c>
      <c r="AA61" s="126">
        <v>2.4911032028469751</v>
      </c>
      <c r="AB61" s="126">
        <v>3.2028469750889679</v>
      </c>
      <c r="AC61" s="126">
        <v>2.4911032028469751</v>
      </c>
      <c r="AD61" s="126">
        <v>2.1352313167259789</v>
      </c>
      <c r="AE61" s="126">
        <v>2.1352313167259789</v>
      </c>
      <c r="AF61" s="126">
        <v>2.4911032028469751</v>
      </c>
      <c r="AG61" s="126">
        <v>1.7793594306049825</v>
      </c>
      <c r="AH61" s="126">
        <v>2.4911032028469751</v>
      </c>
      <c r="AI61" s="126">
        <v>2.4911032028469751</v>
      </c>
      <c r="AJ61" s="126">
        <v>2.4911032028469751</v>
      </c>
      <c r="AK61" s="126">
        <v>0.35587188612099641</v>
      </c>
      <c r="AL61" s="126">
        <v>0.35587188612099641</v>
      </c>
      <c r="AM61" s="128"/>
      <c r="AN61" s="195"/>
    </row>
    <row r="62" spans="1:40" x14ac:dyDescent="0.2">
      <c r="A62" s="269" t="str">
        <f>A42</f>
        <v>50～59歳(n = 320 )　　</v>
      </c>
      <c r="B62" s="113">
        <f t="shared" si="27"/>
        <v>320</v>
      </c>
      <c r="C62" s="129">
        <v>93</v>
      </c>
      <c r="D62" s="130">
        <v>61</v>
      </c>
      <c r="E62" s="130">
        <v>52</v>
      </c>
      <c r="F62" s="130">
        <v>48</v>
      </c>
      <c r="G62" s="130">
        <v>47</v>
      </c>
      <c r="H62" s="130">
        <v>31</v>
      </c>
      <c r="I62" s="130">
        <v>43</v>
      </c>
      <c r="J62" s="130">
        <v>41</v>
      </c>
      <c r="K62" s="130">
        <v>25</v>
      </c>
      <c r="L62" s="130">
        <v>36</v>
      </c>
      <c r="M62" s="130">
        <v>39</v>
      </c>
      <c r="N62" s="130">
        <v>29</v>
      </c>
      <c r="O62" s="130">
        <v>23</v>
      </c>
      <c r="P62" s="130">
        <v>22</v>
      </c>
      <c r="Q62" s="130">
        <v>22</v>
      </c>
      <c r="R62" s="130">
        <v>23</v>
      </c>
      <c r="S62" s="130">
        <v>17</v>
      </c>
      <c r="T62" s="130">
        <v>19</v>
      </c>
      <c r="U62" s="130">
        <v>14</v>
      </c>
      <c r="V62" s="141">
        <v>13</v>
      </c>
      <c r="W62" s="130">
        <v>13</v>
      </c>
      <c r="X62" s="130">
        <v>21</v>
      </c>
      <c r="Y62" s="130">
        <v>8</v>
      </c>
      <c r="Z62" s="130">
        <v>9</v>
      </c>
      <c r="AA62" s="130">
        <v>9</v>
      </c>
      <c r="AB62" s="130">
        <v>11</v>
      </c>
      <c r="AC62" s="130">
        <v>8</v>
      </c>
      <c r="AD62" s="130">
        <v>10</v>
      </c>
      <c r="AE62" s="130">
        <v>7</v>
      </c>
      <c r="AF62" s="130">
        <v>5</v>
      </c>
      <c r="AG62" s="130">
        <v>4</v>
      </c>
      <c r="AH62" s="130">
        <v>1</v>
      </c>
      <c r="AI62" s="130">
        <v>7</v>
      </c>
      <c r="AJ62" s="130">
        <v>6</v>
      </c>
      <c r="AK62" s="130">
        <v>2</v>
      </c>
      <c r="AL62" s="130">
        <v>2</v>
      </c>
      <c r="AM62" s="131"/>
      <c r="AN62" s="5">
        <f>SUM(C62:AM62)</f>
        <v>821</v>
      </c>
    </row>
    <row r="63" spans="1:40" x14ac:dyDescent="0.2">
      <c r="A63" s="270"/>
      <c r="B63" s="114">
        <f t="shared" si="27"/>
        <v>19.801980198019802</v>
      </c>
      <c r="C63" s="125">
        <v>29.062500000000004</v>
      </c>
      <c r="D63" s="126">
        <v>19.0625</v>
      </c>
      <c r="E63" s="126">
        <v>16.25</v>
      </c>
      <c r="F63" s="126">
        <v>15</v>
      </c>
      <c r="G63" s="126">
        <v>14.6875</v>
      </c>
      <c r="H63" s="126">
        <v>9.6875</v>
      </c>
      <c r="I63" s="126">
        <v>13.4375</v>
      </c>
      <c r="J63" s="126">
        <v>12.812499999999998</v>
      </c>
      <c r="K63" s="126">
        <v>7.8125</v>
      </c>
      <c r="L63" s="126">
        <v>11.25</v>
      </c>
      <c r="M63" s="126">
        <v>12.1875</v>
      </c>
      <c r="N63" s="126">
        <v>9.0625</v>
      </c>
      <c r="O63" s="126">
        <v>7.1874999999999991</v>
      </c>
      <c r="P63" s="126">
        <v>6.8750000000000009</v>
      </c>
      <c r="Q63" s="126">
        <v>6.8750000000000009</v>
      </c>
      <c r="R63" s="126">
        <v>7.1874999999999991</v>
      </c>
      <c r="S63" s="126">
        <v>5.3125</v>
      </c>
      <c r="T63" s="126">
        <v>5.9375</v>
      </c>
      <c r="U63" s="126">
        <v>4.375</v>
      </c>
      <c r="V63" s="142">
        <v>4.0625</v>
      </c>
      <c r="W63" s="126">
        <v>4.0625</v>
      </c>
      <c r="X63" s="126">
        <v>6.5625</v>
      </c>
      <c r="Y63" s="126">
        <v>2.5</v>
      </c>
      <c r="Z63" s="126">
        <v>2.8125</v>
      </c>
      <c r="AA63" s="126">
        <v>2.8125</v>
      </c>
      <c r="AB63" s="126">
        <v>3.4375000000000004</v>
      </c>
      <c r="AC63" s="126">
        <v>2.5</v>
      </c>
      <c r="AD63" s="126">
        <v>3.125</v>
      </c>
      <c r="AE63" s="126">
        <v>2.1875</v>
      </c>
      <c r="AF63" s="126">
        <v>1.5625</v>
      </c>
      <c r="AG63" s="126">
        <v>1.25</v>
      </c>
      <c r="AH63" s="126">
        <v>0.3125</v>
      </c>
      <c r="AI63" s="126">
        <v>2.1875</v>
      </c>
      <c r="AJ63" s="126">
        <v>1.875</v>
      </c>
      <c r="AK63" s="126">
        <v>0.625</v>
      </c>
      <c r="AL63" s="126">
        <v>0.625</v>
      </c>
      <c r="AM63" s="128"/>
      <c r="AN63" s="195"/>
    </row>
    <row r="64" spans="1:40" x14ac:dyDescent="0.2">
      <c r="A64" s="269" t="str">
        <f>A44</f>
        <v>60～69歳(n = 352 )　　</v>
      </c>
      <c r="B64" s="113">
        <f t="shared" si="27"/>
        <v>352</v>
      </c>
      <c r="C64" s="129">
        <v>99</v>
      </c>
      <c r="D64" s="130">
        <v>69</v>
      </c>
      <c r="E64" s="130">
        <v>72</v>
      </c>
      <c r="F64" s="130">
        <v>61</v>
      </c>
      <c r="G64" s="130">
        <v>39</v>
      </c>
      <c r="H64" s="130">
        <v>50</v>
      </c>
      <c r="I64" s="130">
        <v>44</v>
      </c>
      <c r="J64" s="130">
        <v>42</v>
      </c>
      <c r="K64" s="130">
        <v>54</v>
      </c>
      <c r="L64" s="130">
        <v>46</v>
      </c>
      <c r="M64" s="130">
        <v>31</v>
      </c>
      <c r="N64" s="130">
        <v>24</v>
      </c>
      <c r="O64" s="130">
        <v>17</v>
      </c>
      <c r="P64" s="130">
        <v>22</v>
      </c>
      <c r="Q64" s="130">
        <v>24</v>
      </c>
      <c r="R64" s="130">
        <v>25</v>
      </c>
      <c r="S64" s="130">
        <v>20</v>
      </c>
      <c r="T64" s="130">
        <v>18</v>
      </c>
      <c r="U64" s="130">
        <v>21</v>
      </c>
      <c r="V64" s="141">
        <v>18</v>
      </c>
      <c r="W64" s="130">
        <v>17</v>
      </c>
      <c r="X64" s="130">
        <v>12</v>
      </c>
      <c r="Y64" s="130">
        <v>16</v>
      </c>
      <c r="Z64" s="130">
        <v>11</v>
      </c>
      <c r="AA64" s="130">
        <v>12</v>
      </c>
      <c r="AB64" s="130">
        <v>12</v>
      </c>
      <c r="AC64" s="130">
        <v>9</v>
      </c>
      <c r="AD64" s="130">
        <v>5</v>
      </c>
      <c r="AE64" s="130">
        <v>7</v>
      </c>
      <c r="AF64" s="130">
        <v>5</v>
      </c>
      <c r="AG64" s="130">
        <v>7</v>
      </c>
      <c r="AH64" s="130">
        <v>3</v>
      </c>
      <c r="AI64" s="130">
        <v>1</v>
      </c>
      <c r="AJ64" s="130">
        <v>2</v>
      </c>
      <c r="AK64" s="130">
        <v>5</v>
      </c>
      <c r="AL64" s="130">
        <v>2</v>
      </c>
      <c r="AM64" s="131"/>
      <c r="AN64" s="5">
        <f>SUM(C64:AM64)</f>
        <v>922</v>
      </c>
    </row>
    <row r="65" spans="1:40" x14ac:dyDescent="0.2">
      <c r="A65" s="270"/>
      <c r="B65" s="114">
        <f t="shared" si="27"/>
        <v>21.782178217821784</v>
      </c>
      <c r="C65" s="125">
        <v>28.125</v>
      </c>
      <c r="D65" s="126">
        <v>19.602272727272727</v>
      </c>
      <c r="E65" s="126">
        <v>20.454545454545457</v>
      </c>
      <c r="F65" s="126">
        <v>17.329545454545457</v>
      </c>
      <c r="G65" s="126">
        <v>11.079545454545455</v>
      </c>
      <c r="H65" s="126">
        <v>14.204545454545455</v>
      </c>
      <c r="I65" s="126">
        <v>12.5</v>
      </c>
      <c r="J65" s="126">
        <v>11.931818181818182</v>
      </c>
      <c r="K65" s="126">
        <v>15.340909090909092</v>
      </c>
      <c r="L65" s="126">
        <v>13.068181818181818</v>
      </c>
      <c r="M65" s="126">
        <v>8.8068181818181817</v>
      </c>
      <c r="N65" s="126">
        <v>6.8181818181818175</v>
      </c>
      <c r="O65" s="126">
        <v>4.8295454545454541</v>
      </c>
      <c r="P65" s="126">
        <v>6.25</v>
      </c>
      <c r="Q65" s="126">
        <v>6.8181818181818175</v>
      </c>
      <c r="R65" s="126">
        <v>7.1022727272727275</v>
      </c>
      <c r="S65" s="126">
        <v>5.6818181818181817</v>
      </c>
      <c r="T65" s="126">
        <v>5.1136363636363642</v>
      </c>
      <c r="U65" s="126">
        <v>5.9659090909090908</v>
      </c>
      <c r="V65" s="142">
        <v>5.1136363636363642</v>
      </c>
      <c r="W65" s="126">
        <v>4.8295454545454541</v>
      </c>
      <c r="X65" s="126">
        <v>3.4090909090909087</v>
      </c>
      <c r="Y65" s="126">
        <v>4.5454545454545459</v>
      </c>
      <c r="Z65" s="126">
        <v>3.125</v>
      </c>
      <c r="AA65" s="126">
        <v>3.4090909090909087</v>
      </c>
      <c r="AB65" s="126">
        <v>3.4090909090909087</v>
      </c>
      <c r="AC65" s="126">
        <v>2.5568181818181821</v>
      </c>
      <c r="AD65" s="126">
        <v>1.4204545454545454</v>
      </c>
      <c r="AE65" s="126">
        <v>1.9886363636363635</v>
      </c>
      <c r="AF65" s="126">
        <v>1.4204545454545454</v>
      </c>
      <c r="AG65" s="126">
        <v>1.9886363636363635</v>
      </c>
      <c r="AH65" s="126">
        <v>0.85227272727272718</v>
      </c>
      <c r="AI65" s="126">
        <v>0.28409090909090912</v>
      </c>
      <c r="AJ65" s="126">
        <v>0.56818181818181823</v>
      </c>
      <c r="AK65" s="126">
        <v>1.4204545454545454</v>
      </c>
      <c r="AL65" s="126">
        <v>0.56818181818181823</v>
      </c>
      <c r="AM65" s="128"/>
      <c r="AN65" s="195"/>
    </row>
    <row r="66" spans="1:40" x14ac:dyDescent="0.2">
      <c r="A66" s="269" t="str">
        <f>A46</f>
        <v>70歳以上(n = 315 )　　</v>
      </c>
      <c r="B66" s="113">
        <f t="shared" si="27"/>
        <v>315</v>
      </c>
      <c r="C66" s="129">
        <v>88</v>
      </c>
      <c r="D66" s="130">
        <v>59</v>
      </c>
      <c r="E66" s="130">
        <v>76</v>
      </c>
      <c r="F66" s="130">
        <v>73</v>
      </c>
      <c r="G66" s="130">
        <v>30</v>
      </c>
      <c r="H66" s="130">
        <v>60</v>
      </c>
      <c r="I66" s="130">
        <v>36</v>
      </c>
      <c r="J66" s="130">
        <v>27</v>
      </c>
      <c r="K66" s="130">
        <v>68</v>
      </c>
      <c r="L66" s="130">
        <v>39</v>
      </c>
      <c r="M66" s="130">
        <v>53</v>
      </c>
      <c r="N66" s="130">
        <v>16</v>
      </c>
      <c r="O66" s="130">
        <v>18</v>
      </c>
      <c r="P66" s="130">
        <v>29</v>
      </c>
      <c r="Q66" s="130">
        <v>31</v>
      </c>
      <c r="R66" s="130">
        <v>22</v>
      </c>
      <c r="S66" s="130">
        <v>23</v>
      </c>
      <c r="T66" s="130">
        <v>14</v>
      </c>
      <c r="U66" s="130">
        <v>16</v>
      </c>
      <c r="V66" s="141">
        <v>18</v>
      </c>
      <c r="W66" s="130">
        <v>12</v>
      </c>
      <c r="X66" s="130">
        <v>12</v>
      </c>
      <c r="Y66" s="130">
        <v>18</v>
      </c>
      <c r="Z66" s="130">
        <v>8</v>
      </c>
      <c r="AA66" s="130">
        <v>8</v>
      </c>
      <c r="AB66" s="130">
        <v>10</v>
      </c>
      <c r="AC66" s="130">
        <v>4</v>
      </c>
      <c r="AD66" s="130">
        <v>4</v>
      </c>
      <c r="AE66" s="130">
        <v>8</v>
      </c>
      <c r="AF66" s="130">
        <v>6</v>
      </c>
      <c r="AG66" s="130">
        <v>8</v>
      </c>
      <c r="AH66" s="130">
        <v>4</v>
      </c>
      <c r="AI66" s="130">
        <v>1</v>
      </c>
      <c r="AJ66" s="130">
        <v>3</v>
      </c>
      <c r="AK66" s="130">
        <v>4</v>
      </c>
      <c r="AL66" s="130">
        <v>5</v>
      </c>
      <c r="AM66" s="131"/>
      <c r="AN66" s="5">
        <f>SUM(C66:AM66)</f>
        <v>911</v>
      </c>
    </row>
    <row r="67" spans="1:40" x14ac:dyDescent="0.2">
      <c r="A67" s="270"/>
      <c r="B67" s="114">
        <f t="shared" si="27"/>
        <v>19.492574257425744</v>
      </c>
      <c r="C67" s="125">
        <v>27.936507936507937</v>
      </c>
      <c r="D67" s="126">
        <v>18.730158730158731</v>
      </c>
      <c r="E67" s="126">
        <v>24.126984126984127</v>
      </c>
      <c r="F67" s="126">
        <v>23.174603174603174</v>
      </c>
      <c r="G67" s="126">
        <v>9.5238095238095237</v>
      </c>
      <c r="H67" s="126">
        <v>19.047619047619047</v>
      </c>
      <c r="I67" s="126">
        <v>11.428571428571429</v>
      </c>
      <c r="J67" s="126">
        <v>8.5714285714285712</v>
      </c>
      <c r="K67" s="126">
        <v>21.587301587301589</v>
      </c>
      <c r="L67" s="126">
        <v>12.380952380952381</v>
      </c>
      <c r="M67" s="126">
        <v>16.825396825396826</v>
      </c>
      <c r="N67" s="126">
        <v>5.0793650793650791</v>
      </c>
      <c r="O67" s="126">
        <v>5.7142857142857144</v>
      </c>
      <c r="P67" s="126">
        <v>9.2063492063492074</v>
      </c>
      <c r="Q67" s="126">
        <v>9.8412698412698418</v>
      </c>
      <c r="R67" s="126">
        <v>6.9841269841269842</v>
      </c>
      <c r="S67" s="126">
        <v>7.3015873015873023</v>
      </c>
      <c r="T67" s="126">
        <v>4.4444444444444446</v>
      </c>
      <c r="U67" s="126">
        <v>5.0793650793650791</v>
      </c>
      <c r="V67" s="142">
        <v>5.7142857142857144</v>
      </c>
      <c r="W67" s="126">
        <v>3.8095238095238098</v>
      </c>
      <c r="X67" s="126">
        <v>3.8095238095238098</v>
      </c>
      <c r="Y67" s="126">
        <v>5.7142857142857144</v>
      </c>
      <c r="Z67" s="126">
        <v>2.5396825396825395</v>
      </c>
      <c r="AA67" s="126">
        <v>2.5396825396825395</v>
      </c>
      <c r="AB67" s="126">
        <v>3.1746031746031744</v>
      </c>
      <c r="AC67" s="126">
        <v>1.2698412698412698</v>
      </c>
      <c r="AD67" s="126">
        <v>1.2698412698412698</v>
      </c>
      <c r="AE67" s="126">
        <v>2.5396825396825395</v>
      </c>
      <c r="AF67" s="126">
        <v>1.9047619047619049</v>
      </c>
      <c r="AG67" s="126">
        <v>2.5396825396825395</v>
      </c>
      <c r="AH67" s="126">
        <v>1.2698412698412698</v>
      </c>
      <c r="AI67" s="126">
        <v>0.31746031746031744</v>
      </c>
      <c r="AJ67" s="126">
        <v>0.95238095238095244</v>
      </c>
      <c r="AK67" s="126">
        <v>1.2698412698412698</v>
      </c>
      <c r="AL67" s="126">
        <v>1.5873015873015872</v>
      </c>
      <c r="AM67" s="128"/>
      <c r="AN67" s="195"/>
    </row>
    <row r="68" spans="1:40" x14ac:dyDescent="0.2">
      <c r="A68" s="26"/>
      <c r="B68" s="22"/>
      <c r="C68" s="182">
        <v>1</v>
      </c>
      <c r="D68" s="182">
        <v>2</v>
      </c>
      <c r="E68" s="182">
        <v>3</v>
      </c>
      <c r="F68" s="182">
        <v>4</v>
      </c>
      <c r="G68" s="182">
        <v>5</v>
      </c>
      <c r="H68" s="182">
        <v>6</v>
      </c>
      <c r="I68" s="182">
        <v>7</v>
      </c>
      <c r="J68" s="182">
        <v>8</v>
      </c>
      <c r="K68" s="182">
        <v>9</v>
      </c>
      <c r="L68" s="182">
        <v>10</v>
      </c>
      <c r="M68" s="182">
        <v>11</v>
      </c>
      <c r="N68" s="182">
        <v>12</v>
      </c>
      <c r="O68" s="182">
        <v>13</v>
      </c>
      <c r="P68" s="182">
        <v>14</v>
      </c>
      <c r="Q68" s="182">
        <v>15</v>
      </c>
      <c r="R68" s="182">
        <v>16</v>
      </c>
      <c r="S68" s="182">
        <v>17</v>
      </c>
      <c r="T68" s="182">
        <v>18</v>
      </c>
      <c r="U68" s="182">
        <v>19</v>
      </c>
      <c r="V68" s="182">
        <v>20</v>
      </c>
      <c r="W68" s="182">
        <v>21</v>
      </c>
      <c r="X68" s="182">
        <v>22</v>
      </c>
      <c r="Y68" s="182">
        <v>23</v>
      </c>
      <c r="Z68" s="182">
        <v>24</v>
      </c>
      <c r="AA68" s="182">
        <v>25</v>
      </c>
      <c r="AB68" s="182">
        <v>26</v>
      </c>
      <c r="AC68" s="182">
        <v>27</v>
      </c>
      <c r="AD68" s="182">
        <v>28</v>
      </c>
      <c r="AE68" s="182">
        <v>29</v>
      </c>
      <c r="AF68" s="182">
        <v>30</v>
      </c>
      <c r="AG68" s="182">
        <v>31</v>
      </c>
      <c r="AH68" s="182">
        <v>32</v>
      </c>
      <c r="AI68" s="182">
        <v>32</v>
      </c>
      <c r="AJ68" s="185">
        <v>34</v>
      </c>
      <c r="AK68" s="185">
        <v>35</v>
      </c>
      <c r="AL68" s="185">
        <v>36</v>
      </c>
      <c r="AM68" s="185">
        <v>37</v>
      </c>
    </row>
    <row r="69" spans="1:40" x14ac:dyDescent="0.2">
      <c r="A69" s="26" t="s">
        <v>2</v>
      </c>
      <c r="B69" s="2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97"/>
      <c r="AK69" s="197"/>
      <c r="AL69" s="197"/>
      <c r="AM69" s="197"/>
    </row>
    <row r="70" spans="1:40" x14ac:dyDescent="0.2">
      <c r="A70" s="6" t="s">
        <v>370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M70" s="27">
        <v>10</v>
      </c>
      <c r="P70" s="172">
        <v>1</v>
      </c>
      <c r="Q70" s="172">
        <v>2</v>
      </c>
      <c r="R70" s="172">
        <v>3</v>
      </c>
      <c r="S70" s="172">
        <v>4</v>
      </c>
      <c r="T70" s="172">
        <v>5</v>
      </c>
      <c r="U70" s="172">
        <v>6</v>
      </c>
      <c r="V70" s="172">
        <v>7</v>
      </c>
      <c r="W70" s="172">
        <v>8</v>
      </c>
      <c r="X70" s="172">
        <v>9</v>
      </c>
      <c r="Y70" s="172">
        <v>10</v>
      </c>
      <c r="Z70" s="172">
        <v>10</v>
      </c>
    </row>
    <row r="71" spans="1:40" ht="32.4" x14ac:dyDescent="0.2">
      <c r="A71" s="12" t="str">
        <f>A31</f>
        <v>【年代別】</v>
      </c>
      <c r="B71" s="59" t="str">
        <f>B22</f>
        <v>調査数</v>
      </c>
      <c r="C71" s="60" t="str">
        <f t="shared" ref="C71:L71" si="28">C51</f>
        <v>防災対策</v>
      </c>
      <c r="D71" s="61" t="str">
        <f t="shared" si="28"/>
        <v>道路整備・維持管理</v>
      </c>
      <c r="E71" s="61" t="str">
        <f t="shared" si="28"/>
        <v>高齢者福祉</v>
      </c>
      <c r="F71" s="61" t="str">
        <f t="shared" si="28"/>
        <v>地域医療の確保</v>
      </c>
      <c r="G71" s="61" t="str">
        <f t="shared" si="28"/>
        <v>子育て支援</v>
      </c>
      <c r="H71" s="61" t="str">
        <f t="shared" si="28"/>
        <v>防犯・交通安全対策</v>
      </c>
      <c r="I71" s="62" t="str">
        <f t="shared" si="28"/>
        <v>河川整備・維持管理</v>
      </c>
      <c r="J71" s="61" t="str">
        <f t="shared" si="28"/>
        <v>自然環境保全</v>
      </c>
      <c r="K71" s="62" t="str">
        <f t="shared" si="28"/>
        <v>廃棄物対策</v>
      </c>
      <c r="L71" s="63" t="str">
        <f t="shared" si="28"/>
        <v>観光振興</v>
      </c>
      <c r="M71" s="63"/>
      <c r="N71" s="44" t="s">
        <v>32</v>
      </c>
      <c r="O71" s="12" t="str">
        <f>A71</f>
        <v>【年代別】</v>
      </c>
      <c r="P71" s="60" t="str">
        <f t="shared" ref="P71:Z71" si="29">C71</f>
        <v>防災対策</v>
      </c>
      <c r="Q71" s="61" t="str">
        <f t="shared" si="29"/>
        <v>道路整備・維持管理</v>
      </c>
      <c r="R71" s="61" t="str">
        <f t="shared" si="29"/>
        <v>高齢者福祉</v>
      </c>
      <c r="S71" s="61" t="str">
        <f t="shared" si="29"/>
        <v>地域医療の確保</v>
      </c>
      <c r="T71" s="61" t="str">
        <f t="shared" si="29"/>
        <v>子育て支援</v>
      </c>
      <c r="U71" s="61" t="str">
        <f t="shared" si="29"/>
        <v>防犯・交通安全対策</v>
      </c>
      <c r="V71" s="61" t="str">
        <f t="shared" si="29"/>
        <v>河川整備・維持管理</v>
      </c>
      <c r="W71" s="61" t="str">
        <f t="shared" si="29"/>
        <v>自然環境保全</v>
      </c>
      <c r="X71" s="62" t="str">
        <f t="shared" si="29"/>
        <v>廃棄物対策</v>
      </c>
      <c r="Y71" s="63" t="str">
        <f t="shared" si="29"/>
        <v>観光振興</v>
      </c>
      <c r="Z71" s="63">
        <f t="shared" si="29"/>
        <v>0</v>
      </c>
    </row>
    <row r="72" spans="1:40" ht="12.75" customHeight="1" x14ac:dyDescent="0.2">
      <c r="A72" s="269" t="str">
        <f>A32</f>
        <v>全体(n = 1,616 )　　</v>
      </c>
      <c r="B72" s="224" t="str">
        <f t="shared" ref="B72:B87" si="30">B32</f>
        <v>1,616</v>
      </c>
      <c r="C72" s="121">
        <f t="shared" ref="C72:L72" si="31">C52</f>
        <v>453</v>
      </c>
      <c r="D72" s="122">
        <f t="shared" si="31"/>
        <v>296</v>
      </c>
      <c r="E72" s="122">
        <f t="shared" si="31"/>
        <v>287</v>
      </c>
      <c r="F72" s="122">
        <f t="shared" si="31"/>
        <v>284</v>
      </c>
      <c r="G72" s="122">
        <f t="shared" si="31"/>
        <v>248</v>
      </c>
      <c r="H72" s="122">
        <f t="shared" si="31"/>
        <v>237</v>
      </c>
      <c r="I72" s="123">
        <f t="shared" si="31"/>
        <v>213</v>
      </c>
      <c r="J72" s="122">
        <f t="shared" si="31"/>
        <v>203</v>
      </c>
      <c r="K72" s="123">
        <f t="shared" si="31"/>
        <v>194</v>
      </c>
      <c r="L72" s="124">
        <f t="shared" si="31"/>
        <v>180</v>
      </c>
      <c r="M72" s="124"/>
      <c r="O72" s="93" t="str">
        <f>A74</f>
        <v>18～19歳(n = 21 )　　</v>
      </c>
      <c r="P72" s="84">
        <f t="shared" ref="P72:Z72" si="32">C75</f>
        <v>33.333333333333329</v>
      </c>
      <c r="Q72" s="85">
        <f t="shared" si="32"/>
        <v>14.285714285714285</v>
      </c>
      <c r="R72" s="85">
        <f t="shared" si="32"/>
        <v>14.285714285714285</v>
      </c>
      <c r="S72" s="85">
        <f t="shared" si="32"/>
        <v>9.5238095238095237</v>
      </c>
      <c r="T72" s="85">
        <f t="shared" si="32"/>
        <v>0</v>
      </c>
      <c r="U72" s="85">
        <f t="shared" si="32"/>
        <v>19.047619047619047</v>
      </c>
      <c r="V72" s="85">
        <f t="shared" si="32"/>
        <v>23.809523809523807</v>
      </c>
      <c r="W72" s="85">
        <f t="shared" si="32"/>
        <v>4.7619047619047619</v>
      </c>
      <c r="X72" s="86">
        <f t="shared" si="32"/>
        <v>4.7619047619047619</v>
      </c>
      <c r="Y72" s="87">
        <f t="shared" si="32"/>
        <v>14.285714285714285</v>
      </c>
      <c r="Z72" s="87">
        <f t="shared" si="32"/>
        <v>0</v>
      </c>
    </row>
    <row r="73" spans="1:40" ht="12.75" customHeight="1" x14ac:dyDescent="0.2">
      <c r="A73" s="270"/>
      <c r="B73" s="114">
        <f t="shared" si="30"/>
        <v>100</v>
      </c>
      <c r="C73" s="125">
        <f t="shared" ref="C73:L73" si="33">C53</f>
        <v>28.032178217821784</v>
      </c>
      <c r="D73" s="126">
        <f t="shared" si="33"/>
        <v>18.316831683168317</v>
      </c>
      <c r="E73" s="126">
        <f t="shared" si="33"/>
        <v>17.759900990099009</v>
      </c>
      <c r="F73" s="126">
        <f t="shared" si="33"/>
        <v>17.574257425742573</v>
      </c>
      <c r="G73" s="126">
        <f t="shared" si="33"/>
        <v>15.346534653465346</v>
      </c>
      <c r="H73" s="126">
        <f t="shared" si="33"/>
        <v>14.665841584158414</v>
      </c>
      <c r="I73" s="127">
        <f t="shared" si="33"/>
        <v>13.180693069306932</v>
      </c>
      <c r="J73" s="126">
        <f t="shared" si="33"/>
        <v>12.561881188118813</v>
      </c>
      <c r="K73" s="127">
        <f t="shared" si="33"/>
        <v>12.004950495049505</v>
      </c>
      <c r="L73" s="128">
        <f t="shared" si="33"/>
        <v>11.138613861386139</v>
      </c>
      <c r="M73" s="128"/>
      <c r="O73" s="95" t="str">
        <f>A76</f>
        <v>20～29歳(n = 119 )　　</v>
      </c>
      <c r="P73" s="88">
        <f t="shared" ref="P73:Z73" si="34">C77</f>
        <v>30.252100840336134</v>
      </c>
      <c r="Q73" s="89">
        <f t="shared" si="34"/>
        <v>13.445378151260504</v>
      </c>
      <c r="R73" s="89">
        <f t="shared" si="34"/>
        <v>13.445378151260504</v>
      </c>
      <c r="S73" s="89">
        <f t="shared" si="34"/>
        <v>16.806722689075631</v>
      </c>
      <c r="T73" s="89">
        <f t="shared" si="34"/>
        <v>7.5630252100840334</v>
      </c>
      <c r="U73" s="89">
        <f t="shared" si="34"/>
        <v>21.008403361344538</v>
      </c>
      <c r="V73" s="89">
        <f t="shared" si="34"/>
        <v>11.76470588235294</v>
      </c>
      <c r="W73" s="89">
        <f t="shared" si="34"/>
        <v>18.487394957983195</v>
      </c>
      <c r="X73" s="90">
        <f t="shared" si="34"/>
        <v>10.92436974789916</v>
      </c>
      <c r="Y73" s="91">
        <f t="shared" si="34"/>
        <v>10.084033613445378</v>
      </c>
      <c r="Z73" s="91">
        <f t="shared" si="34"/>
        <v>0</v>
      </c>
    </row>
    <row r="74" spans="1:40" ht="12.75" customHeight="1" x14ac:dyDescent="0.2">
      <c r="A74" s="269" t="str">
        <f>A34</f>
        <v>18～19歳(n = 21 )　　</v>
      </c>
      <c r="B74" s="113">
        <f t="shared" si="30"/>
        <v>21</v>
      </c>
      <c r="C74" s="129">
        <f t="shared" ref="C74:L74" si="35">C54</f>
        <v>7</v>
      </c>
      <c r="D74" s="130">
        <f t="shared" si="35"/>
        <v>3</v>
      </c>
      <c r="E74" s="130">
        <f t="shared" si="35"/>
        <v>3</v>
      </c>
      <c r="F74" s="130">
        <f t="shared" si="35"/>
        <v>2</v>
      </c>
      <c r="G74" s="130">
        <f t="shared" si="35"/>
        <v>0</v>
      </c>
      <c r="H74" s="130">
        <f t="shared" si="35"/>
        <v>4</v>
      </c>
      <c r="I74" s="140">
        <f t="shared" si="35"/>
        <v>5</v>
      </c>
      <c r="J74" s="130">
        <f t="shared" si="35"/>
        <v>1</v>
      </c>
      <c r="K74" s="140">
        <f t="shared" si="35"/>
        <v>1</v>
      </c>
      <c r="L74" s="131">
        <f t="shared" si="35"/>
        <v>3</v>
      </c>
      <c r="M74" s="131"/>
      <c r="O74" s="95" t="str">
        <f>A78</f>
        <v>30～39歳(n = 196 )　　</v>
      </c>
      <c r="P74" s="88">
        <f t="shared" ref="P74:Z74" si="36">C79</f>
        <v>22.95918367346939</v>
      </c>
      <c r="Q74" s="89">
        <f t="shared" si="36"/>
        <v>17.857142857142858</v>
      </c>
      <c r="R74" s="89">
        <f t="shared" si="36"/>
        <v>14.795918367346939</v>
      </c>
      <c r="S74" s="89">
        <f t="shared" si="36"/>
        <v>16.836734693877549</v>
      </c>
      <c r="T74" s="89">
        <f t="shared" si="36"/>
        <v>22.95918367346939</v>
      </c>
      <c r="U74" s="89">
        <f t="shared" si="36"/>
        <v>11.73469387755102</v>
      </c>
      <c r="V74" s="89">
        <f t="shared" si="36"/>
        <v>15.306122448979592</v>
      </c>
      <c r="W74" s="89">
        <f t="shared" si="36"/>
        <v>18.367346938775512</v>
      </c>
      <c r="X74" s="90">
        <f t="shared" si="36"/>
        <v>5.6122448979591839</v>
      </c>
      <c r="Y74" s="91">
        <f t="shared" si="36"/>
        <v>7.6530612244897958</v>
      </c>
      <c r="Z74" s="91">
        <f t="shared" si="36"/>
        <v>0</v>
      </c>
    </row>
    <row r="75" spans="1:40" ht="12.75" customHeight="1" x14ac:dyDescent="0.2">
      <c r="A75" s="270"/>
      <c r="B75" s="114">
        <f t="shared" si="30"/>
        <v>1.2995049504950495</v>
      </c>
      <c r="C75" s="125">
        <f t="shared" ref="C75:L75" si="37">C55</f>
        <v>33.333333333333329</v>
      </c>
      <c r="D75" s="126">
        <f t="shared" si="37"/>
        <v>14.285714285714285</v>
      </c>
      <c r="E75" s="126">
        <f t="shared" si="37"/>
        <v>14.285714285714285</v>
      </c>
      <c r="F75" s="126">
        <f t="shared" si="37"/>
        <v>9.5238095238095237</v>
      </c>
      <c r="G75" s="126">
        <f t="shared" si="37"/>
        <v>0</v>
      </c>
      <c r="H75" s="126">
        <f t="shared" si="37"/>
        <v>19.047619047619047</v>
      </c>
      <c r="I75" s="127">
        <f t="shared" si="37"/>
        <v>23.809523809523807</v>
      </c>
      <c r="J75" s="126">
        <f t="shared" si="37"/>
        <v>4.7619047619047619</v>
      </c>
      <c r="K75" s="127">
        <f t="shared" si="37"/>
        <v>4.7619047619047619</v>
      </c>
      <c r="L75" s="128">
        <f t="shared" si="37"/>
        <v>14.285714285714285</v>
      </c>
      <c r="M75" s="128"/>
      <c r="O75" s="95" t="str">
        <f>A80</f>
        <v>40～49歳(n = 281 )　　</v>
      </c>
      <c r="P75" s="88">
        <f t="shared" ref="P75:Z75" si="38">C81</f>
        <v>29.537366548042705</v>
      </c>
      <c r="Q75" s="89">
        <f t="shared" si="38"/>
        <v>18.861209964412812</v>
      </c>
      <c r="R75" s="89">
        <f t="shared" si="38"/>
        <v>13.167259786476867</v>
      </c>
      <c r="S75" s="89">
        <f t="shared" si="38"/>
        <v>16.370106761565836</v>
      </c>
      <c r="T75" s="89">
        <f t="shared" si="38"/>
        <v>26.334519572953734</v>
      </c>
      <c r="U75" s="89">
        <f t="shared" si="38"/>
        <v>15.302491103202847</v>
      </c>
      <c r="V75" s="89">
        <f t="shared" si="38"/>
        <v>14.23487544483986</v>
      </c>
      <c r="W75" s="89">
        <f t="shared" si="38"/>
        <v>12.099644128113878</v>
      </c>
      <c r="X75" s="90">
        <f t="shared" si="38"/>
        <v>7.4733096085409247</v>
      </c>
      <c r="Y75" s="91">
        <f t="shared" si="38"/>
        <v>10.320284697508896</v>
      </c>
      <c r="Z75" s="91">
        <f t="shared" si="38"/>
        <v>0</v>
      </c>
    </row>
    <row r="76" spans="1:40" ht="12.75" customHeight="1" x14ac:dyDescent="0.2">
      <c r="A76" s="269" t="str">
        <f>A36</f>
        <v>20～29歳(n = 119 )　　</v>
      </c>
      <c r="B76" s="113">
        <f t="shared" si="30"/>
        <v>119</v>
      </c>
      <c r="C76" s="129">
        <f t="shared" ref="C76:L76" si="39">C56</f>
        <v>36</v>
      </c>
      <c r="D76" s="130">
        <f t="shared" si="39"/>
        <v>16</v>
      </c>
      <c r="E76" s="130">
        <f t="shared" si="39"/>
        <v>16</v>
      </c>
      <c r="F76" s="130">
        <f t="shared" si="39"/>
        <v>20</v>
      </c>
      <c r="G76" s="130">
        <f t="shared" si="39"/>
        <v>9</v>
      </c>
      <c r="H76" s="130">
        <f t="shared" si="39"/>
        <v>25</v>
      </c>
      <c r="I76" s="140">
        <f t="shared" si="39"/>
        <v>14</v>
      </c>
      <c r="J76" s="130">
        <f t="shared" si="39"/>
        <v>22</v>
      </c>
      <c r="K76" s="140">
        <f t="shared" si="39"/>
        <v>13</v>
      </c>
      <c r="L76" s="131">
        <f t="shared" si="39"/>
        <v>12</v>
      </c>
      <c r="M76" s="131"/>
      <c r="O76" s="95" t="str">
        <f>A82</f>
        <v>50～59歳(n = 320 )　　</v>
      </c>
      <c r="P76" s="88">
        <f t="shared" ref="P76:Z76" si="40">C83</f>
        <v>29.062500000000004</v>
      </c>
      <c r="Q76" s="89">
        <f t="shared" si="40"/>
        <v>19.0625</v>
      </c>
      <c r="R76" s="89">
        <f t="shared" si="40"/>
        <v>16.25</v>
      </c>
      <c r="S76" s="89">
        <f t="shared" si="40"/>
        <v>15</v>
      </c>
      <c r="T76" s="89">
        <f t="shared" si="40"/>
        <v>14.6875</v>
      </c>
      <c r="U76" s="89">
        <f t="shared" si="40"/>
        <v>9.6875</v>
      </c>
      <c r="V76" s="89">
        <f t="shared" si="40"/>
        <v>13.4375</v>
      </c>
      <c r="W76" s="89">
        <f t="shared" si="40"/>
        <v>12.812499999999998</v>
      </c>
      <c r="X76" s="90">
        <f t="shared" si="40"/>
        <v>7.8125</v>
      </c>
      <c r="Y76" s="91">
        <f t="shared" si="40"/>
        <v>11.25</v>
      </c>
      <c r="Z76" s="91">
        <f t="shared" si="40"/>
        <v>0</v>
      </c>
    </row>
    <row r="77" spans="1:40" ht="12.75" customHeight="1" x14ac:dyDescent="0.2">
      <c r="A77" s="270"/>
      <c r="B77" s="114">
        <f t="shared" si="30"/>
        <v>7.3638613861386135</v>
      </c>
      <c r="C77" s="125">
        <f t="shared" ref="C77:L77" si="41">C57</f>
        <v>30.252100840336134</v>
      </c>
      <c r="D77" s="126">
        <f t="shared" si="41"/>
        <v>13.445378151260504</v>
      </c>
      <c r="E77" s="126">
        <f t="shared" si="41"/>
        <v>13.445378151260504</v>
      </c>
      <c r="F77" s="126">
        <f t="shared" si="41"/>
        <v>16.806722689075631</v>
      </c>
      <c r="G77" s="126">
        <f t="shared" si="41"/>
        <v>7.5630252100840334</v>
      </c>
      <c r="H77" s="126">
        <f t="shared" si="41"/>
        <v>21.008403361344538</v>
      </c>
      <c r="I77" s="127">
        <f t="shared" si="41"/>
        <v>11.76470588235294</v>
      </c>
      <c r="J77" s="126">
        <f t="shared" si="41"/>
        <v>18.487394957983195</v>
      </c>
      <c r="K77" s="127">
        <f t="shared" si="41"/>
        <v>10.92436974789916</v>
      </c>
      <c r="L77" s="128">
        <f t="shared" si="41"/>
        <v>10.084033613445378</v>
      </c>
      <c r="M77" s="128"/>
      <c r="O77" s="95" t="str">
        <f>A84</f>
        <v>60～69歳(n = 352 )　　</v>
      </c>
      <c r="P77" s="88">
        <f t="shared" ref="P77:Z77" si="42">C85</f>
        <v>28.125</v>
      </c>
      <c r="Q77" s="89">
        <f t="shared" si="42"/>
        <v>19.602272727272727</v>
      </c>
      <c r="R77" s="89">
        <f t="shared" si="42"/>
        <v>20.454545454545457</v>
      </c>
      <c r="S77" s="89">
        <f t="shared" si="42"/>
        <v>17.329545454545457</v>
      </c>
      <c r="T77" s="89">
        <f t="shared" si="42"/>
        <v>11.079545454545455</v>
      </c>
      <c r="U77" s="89">
        <f t="shared" si="42"/>
        <v>14.204545454545455</v>
      </c>
      <c r="V77" s="89">
        <f t="shared" si="42"/>
        <v>12.5</v>
      </c>
      <c r="W77" s="89">
        <f t="shared" si="42"/>
        <v>11.931818181818182</v>
      </c>
      <c r="X77" s="90">
        <f t="shared" si="42"/>
        <v>15.340909090909092</v>
      </c>
      <c r="Y77" s="91">
        <f t="shared" si="42"/>
        <v>13.068181818181818</v>
      </c>
      <c r="Z77" s="91">
        <f t="shared" si="42"/>
        <v>0</v>
      </c>
    </row>
    <row r="78" spans="1:40" ht="13.5" customHeight="1" x14ac:dyDescent="0.2">
      <c r="A78" s="269" t="str">
        <f>A38</f>
        <v>30～39歳(n = 196 )　　</v>
      </c>
      <c r="B78" s="113">
        <f t="shared" si="30"/>
        <v>196</v>
      </c>
      <c r="C78" s="129">
        <f t="shared" ref="C78:L78" si="43">C58</f>
        <v>45</v>
      </c>
      <c r="D78" s="130">
        <f t="shared" si="43"/>
        <v>35</v>
      </c>
      <c r="E78" s="130">
        <f t="shared" si="43"/>
        <v>29</v>
      </c>
      <c r="F78" s="130">
        <f t="shared" si="43"/>
        <v>33</v>
      </c>
      <c r="G78" s="130">
        <f t="shared" si="43"/>
        <v>45</v>
      </c>
      <c r="H78" s="130">
        <f t="shared" si="43"/>
        <v>23</v>
      </c>
      <c r="I78" s="140">
        <f t="shared" si="43"/>
        <v>30</v>
      </c>
      <c r="J78" s="130">
        <f t="shared" si="43"/>
        <v>36</v>
      </c>
      <c r="K78" s="140">
        <f t="shared" si="43"/>
        <v>11</v>
      </c>
      <c r="L78" s="131">
        <f t="shared" si="43"/>
        <v>15</v>
      </c>
      <c r="M78" s="131"/>
      <c r="O78" s="94" t="str">
        <f>A86</f>
        <v>70歳以上(n = 315 )　　</v>
      </c>
      <c r="P78" s="78">
        <f t="shared" ref="P78:Z78" si="44">C87</f>
        <v>27.936507936507937</v>
      </c>
      <c r="Q78" s="79">
        <f t="shared" si="44"/>
        <v>18.730158730158731</v>
      </c>
      <c r="R78" s="79">
        <f t="shared" si="44"/>
        <v>24.126984126984127</v>
      </c>
      <c r="S78" s="79">
        <f t="shared" si="44"/>
        <v>23.174603174603174</v>
      </c>
      <c r="T78" s="79">
        <f t="shared" si="44"/>
        <v>9.5238095238095237</v>
      </c>
      <c r="U78" s="79">
        <f t="shared" si="44"/>
        <v>19.047619047619047</v>
      </c>
      <c r="V78" s="79">
        <f t="shared" si="44"/>
        <v>11.428571428571429</v>
      </c>
      <c r="W78" s="79">
        <f t="shared" si="44"/>
        <v>8.5714285714285712</v>
      </c>
      <c r="X78" s="80">
        <f t="shared" si="44"/>
        <v>21.587301587301589</v>
      </c>
      <c r="Y78" s="81">
        <f t="shared" si="44"/>
        <v>12.380952380952381</v>
      </c>
      <c r="Z78" s="81">
        <f t="shared" si="44"/>
        <v>0</v>
      </c>
    </row>
    <row r="79" spans="1:40" x14ac:dyDescent="0.2">
      <c r="A79" s="270"/>
      <c r="B79" s="114">
        <f t="shared" si="30"/>
        <v>12.128712871287128</v>
      </c>
      <c r="C79" s="125">
        <f t="shared" ref="C79:L79" si="45">C59</f>
        <v>22.95918367346939</v>
      </c>
      <c r="D79" s="126">
        <f t="shared" si="45"/>
        <v>17.857142857142858</v>
      </c>
      <c r="E79" s="126">
        <f t="shared" si="45"/>
        <v>14.795918367346939</v>
      </c>
      <c r="F79" s="126">
        <f t="shared" si="45"/>
        <v>16.836734693877549</v>
      </c>
      <c r="G79" s="126">
        <f t="shared" si="45"/>
        <v>22.95918367346939</v>
      </c>
      <c r="H79" s="126">
        <f t="shared" si="45"/>
        <v>11.73469387755102</v>
      </c>
      <c r="I79" s="127">
        <f t="shared" si="45"/>
        <v>15.306122448979592</v>
      </c>
      <c r="J79" s="126">
        <f t="shared" si="45"/>
        <v>18.367346938775512</v>
      </c>
      <c r="K79" s="127">
        <f t="shared" si="45"/>
        <v>5.6122448979591839</v>
      </c>
      <c r="L79" s="128">
        <f t="shared" si="45"/>
        <v>7.6530612244897958</v>
      </c>
      <c r="M79" s="128"/>
    </row>
    <row r="80" spans="1:40" x14ac:dyDescent="0.2">
      <c r="A80" s="269" t="str">
        <f>A40</f>
        <v>40～49歳(n = 281 )　　</v>
      </c>
      <c r="B80" s="113">
        <f t="shared" si="30"/>
        <v>281</v>
      </c>
      <c r="C80" s="129">
        <f t="shared" ref="C80:L80" si="46">C60</f>
        <v>83</v>
      </c>
      <c r="D80" s="130">
        <f t="shared" si="46"/>
        <v>53</v>
      </c>
      <c r="E80" s="130">
        <f t="shared" si="46"/>
        <v>37</v>
      </c>
      <c r="F80" s="130">
        <f t="shared" si="46"/>
        <v>46</v>
      </c>
      <c r="G80" s="130">
        <f t="shared" si="46"/>
        <v>74</v>
      </c>
      <c r="H80" s="130">
        <f t="shared" si="46"/>
        <v>43</v>
      </c>
      <c r="I80" s="140">
        <f t="shared" si="46"/>
        <v>40</v>
      </c>
      <c r="J80" s="130">
        <f t="shared" si="46"/>
        <v>34</v>
      </c>
      <c r="K80" s="140">
        <f t="shared" si="46"/>
        <v>21</v>
      </c>
      <c r="L80" s="131">
        <f t="shared" si="46"/>
        <v>29</v>
      </c>
      <c r="M80" s="131"/>
    </row>
    <row r="81" spans="1:41" x14ac:dyDescent="0.2">
      <c r="A81" s="270"/>
      <c r="B81" s="114">
        <f t="shared" si="30"/>
        <v>17.388613861386137</v>
      </c>
      <c r="C81" s="125">
        <f t="shared" ref="C81:L81" si="47">C61</f>
        <v>29.537366548042705</v>
      </c>
      <c r="D81" s="126">
        <f t="shared" si="47"/>
        <v>18.861209964412812</v>
      </c>
      <c r="E81" s="126">
        <f t="shared" si="47"/>
        <v>13.167259786476867</v>
      </c>
      <c r="F81" s="126">
        <f t="shared" si="47"/>
        <v>16.370106761565836</v>
      </c>
      <c r="G81" s="126">
        <f t="shared" si="47"/>
        <v>26.334519572953734</v>
      </c>
      <c r="H81" s="126">
        <f t="shared" si="47"/>
        <v>15.302491103202847</v>
      </c>
      <c r="I81" s="127">
        <f t="shared" si="47"/>
        <v>14.23487544483986</v>
      </c>
      <c r="J81" s="126">
        <f t="shared" si="47"/>
        <v>12.099644128113878</v>
      </c>
      <c r="K81" s="127">
        <f t="shared" si="47"/>
        <v>7.4733096085409247</v>
      </c>
      <c r="L81" s="128">
        <f t="shared" si="47"/>
        <v>10.320284697508896</v>
      </c>
      <c r="M81" s="128"/>
    </row>
    <row r="82" spans="1:41" x14ac:dyDescent="0.2">
      <c r="A82" s="269" t="str">
        <f>A42</f>
        <v>50～59歳(n = 320 )　　</v>
      </c>
      <c r="B82" s="113">
        <f t="shared" si="30"/>
        <v>320</v>
      </c>
      <c r="C82" s="129">
        <f t="shared" ref="C82:L82" si="48">C62</f>
        <v>93</v>
      </c>
      <c r="D82" s="130">
        <f t="shared" si="48"/>
        <v>61</v>
      </c>
      <c r="E82" s="130">
        <f t="shared" si="48"/>
        <v>52</v>
      </c>
      <c r="F82" s="130">
        <f t="shared" si="48"/>
        <v>48</v>
      </c>
      <c r="G82" s="130">
        <f t="shared" si="48"/>
        <v>47</v>
      </c>
      <c r="H82" s="130">
        <f t="shared" si="48"/>
        <v>31</v>
      </c>
      <c r="I82" s="140">
        <f t="shared" si="48"/>
        <v>43</v>
      </c>
      <c r="J82" s="130">
        <f t="shared" si="48"/>
        <v>41</v>
      </c>
      <c r="K82" s="140">
        <f t="shared" si="48"/>
        <v>25</v>
      </c>
      <c r="L82" s="131">
        <f t="shared" si="48"/>
        <v>36</v>
      </c>
      <c r="M82" s="131"/>
    </row>
    <row r="83" spans="1:41" x14ac:dyDescent="0.2">
      <c r="A83" s="270"/>
      <c r="B83" s="114">
        <f t="shared" si="30"/>
        <v>19.801980198019802</v>
      </c>
      <c r="C83" s="125">
        <f t="shared" ref="C83:L83" si="49">C63</f>
        <v>29.062500000000004</v>
      </c>
      <c r="D83" s="126">
        <f t="shared" si="49"/>
        <v>19.0625</v>
      </c>
      <c r="E83" s="126">
        <f t="shared" si="49"/>
        <v>16.25</v>
      </c>
      <c r="F83" s="126">
        <f t="shared" si="49"/>
        <v>15</v>
      </c>
      <c r="G83" s="126">
        <f t="shared" si="49"/>
        <v>14.6875</v>
      </c>
      <c r="H83" s="126">
        <f t="shared" si="49"/>
        <v>9.6875</v>
      </c>
      <c r="I83" s="127">
        <f t="shared" si="49"/>
        <v>13.4375</v>
      </c>
      <c r="J83" s="126">
        <f t="shared" si="49"/>
        <v>12.812499999999998</v>
      </c>
      <c r="K83" s="127">
        <f t="shared" si="49"/>
        <v>7.8125</v>
      </c>
      <c r="L83" s="128">
        <f t="shared" si="49"/>
        <v>11.25</v>
      </c>
      <c r="M83" s="128"/>
    </row>
    <row r="84" spans="1:41" x14ac:dyDescent="0.2">
      <c r="A84" s="269" t="str">
        <f>A44</f>
        <v>60～69歳(n = 352 )　　</v>
      </c>
      <c r="B84" s="113">
        <f t="shared" si="30"/>
        <v>352</v>
      </c>
      <c r="C84" s="129">
        <f t="shared" ref="C84:L84" si="50">C64</f>
        <v>99</v>
      </c>
      <c r="D84" s="130">
        <f t="shared" si="50"/>
        <v>69</v>
      </c>
      <c r="E84" s="130">
        <f t="shared" si="50"/>
        <v>72</v>
      </c>
      <c r="F84" s="130">
        <f t="shared" si="50"/>
        <v>61</v>
      </c>
      <c r="G84" s="130">
        <f t="shared" si="50"/>
        <v>39</v>
      </c>
      <c r="H84" s="130">
        <f t="shared" si="50"/>
        <v>50</v>
      </c>
      <c r="I84" s="140">
        <f t="shared" si="50"/>
        <v>44</v>
      </c>
      <c r="J84" s="130">
        <f t="shared" si="50"/>
        <v>42</v>
      </c>
      <c r="K84" s="140">
        <f t="shared" si="50"/>
        <v>54</v>
      </c>
      <c r="L84" s="131">
        <f t="shared" si="50"/>
        <v>46</v>
      </c>
      <c r="M84" s="131"/>
    </row>
    <row r="85" spans="1:41" x14ac:dyDescent="0.2">
      <c r="A85" s="270"/>
      <c r="B85" s="114">
        <f t="shared" si="30"/>
        <v>21.782178217821784</v>
      </c>
      <c r="C85" s="125">
        <f t="shared" ref="C85:L85" si="51">C65</f>
        <v>28.125</v>
      </c>
      <c r="D85" s="126">
        <f t="shared" si="51"/>
        <v>19.602272727272727</v>
      </c>
      <c r="E85" s="126">
        <f t="shared" si="51"/>
        <v>20.454545454545457</v>
      </c>
      <c r="F85" s="126">
        <f t="shared" si="51"/>
        <v>17.329545454545457</v>
      </c>
      <c r="G85" s="126">
        <f t="shared" si="51"/>
        <v>11.079545454545455</v>
      </c>
      <c r="H85" s="126">
        <f t="shared" si="51"/>
        <v>14.204545454545455</v>
      </c>
      <c r="I85" s="127">
        <f t="shared" si="51"/>
        <v>12.5</v>
      </c>
      <c r="J85" s="126">
        <f t="shared" si="51"/>
        <v>11.931818181818182</v>
      </c>
      <c r="K85" s="127">
        <f t="shared" si="51"/>
        <v>15.340909090909092</v>
      </c>
      <c r="L85" s="128">
        <f t="shared" si="51"/>
        <v>13.068181818181818</v>
      </c>
      <c r="M85" s="128"/>
    </row>
    <row r="86" spans="1:41" x14ac:dyDescent="0.2">
      <c r="A86" s="269" t="str">
        <f>A46</f>
        <v>70歳以上(n = 315 )　　</v>
      </c>
      <c r="B86" s="113">
        <f t="shared" si="30"/>
        <v>315</v>
      </c>
      <c r="C86" s="129">
        <f t="shared" ref="C86:L86" si="52">C66</f>
        <v>88</v>
      </c>
      <c r="D86" s="130">
        <f t="shared" si="52"/>
        <v>59</v>
      </c>
      <c r="E86" s="130">
        <f t="shared" si="52"/>
        <v>76</v>
      </c>
      <c r="F86" s="130">
        <f t="shared" si="52"/>
        <v>73</v>
      </c>
      <c r="G86" s="130">
        <f t="shared" si="52"/>
        <v>30</v>
      </c>
      <c r="H86" s="130">
        <f t="shared" si="52"/>
        <v>60</v>
      </c>
      <c r="I86" s="140">
        <f t="shared" si="52"/>
        <v>36</v>
      </c>
      <c r="J86" s="130">
        <f t="shared" si="52"/>
        <v>27</v>
      </c>
      <c r="K86" s="140">
        <f t="shared" si="52"/>
        <v>68</v>
      </c>
      <c r="L86" s="131">
        <f t="shared" si="52"/>
        <v>39</v>
      </c>
      <c r="M86" s="131"/>
    </row>
    <row r="87" spans="1:41" x14ac:dyDescent="0.2">
      <c r="A87" s="270"/>
      <c r="B87" s="114">
        <f t="shared" si="30"/>
        <v>19.492574257425744</v>
      </c>
      <c r="C87" s="125">
        <f t="shared" ref="C87:L87" si="53">C67</f>
        <v>27.936507936507937</v>
      </c>
      <c r="D87" s="126">
        <f t="shared" si="53"/>
        <v>18.730158730158731</v>
      </c>
      <c r="E87" s="126">
        <f t="shared" si="53"/>
        <v>24.126984126984127</v>
      </c>
      <c r="F87" s="126">
        <f t="shared" si="53"/>
        <v>23.174603174603174</v>
      </c>
      <c r="G87" s="126">
        <f t="shared" si="53"/>
        <v>9.5238095238095237</v>
      </c>
      <c r="H87" s="126">
        <f t="shared" si="53"/>
        <v>19.047619047619047</v>
      </c>
      <c r="I87" s="127">
        <f t="shared" si="53"/>
        <v>11.428571428571429</v>
      </c>
      <c r="J87" s="126">
        <f t="shared" si="53"/>
        <v>8.5714285714285712</v>
      </c>
      <c r="K87" s="127">
        <f t="shared" si="53"/>
        <v>21.587301587301589</v>
      </c>
      <c r="L87" s="128">
        <f t="shared" si="53"/>
        <v>12.380952380952381</v>
      </c>
      <c r="M87" s="128"/>
    </row>
    <row r="89" spans="1:41" x14ac:dyDescent="0.2">
      <c r="A89" s="3" t="s">
        <v>373</v>
      </c>
      <c r="B89" s="1" t="str">
        <f>B30</f>
        <v>県の取り組みでよくやっていると思う分野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1" ht="64.8" x14ac:dyDescent="0.2">
      <c r="A90" s="13" t="s">
        <v>27</v>
      </c>
      <c r="B90" s="59" t="str">
        <f>B31</f>
        <v>調査数</v>
      </c>
      <c r="C90" s="60" t="str">
        <f t="shared" ref="C90:AL90" si="54">C31</f>
        <v>防災対策</v>
      </c>
      <c r="D90" s="61" t="str">
        <f t="shared" si="54"/>
        <v>自然環境保全</v>
      </c>
      <c r="E90" s="61" t="str">
        <f t="shared" si="54"/>
        <v>住環境保全</v>
      </c>
      <c r="F90" s="61" t="str">
        <f t="shared" si="54"/>
        <v>廃棄物対策</v>
      </c>
      <c r="G90" s="61" t="str">
        <f t="shared" si="54"/>
        <v>消費者保護</v>
      </c>
      <c r="H90" s="61" t="str">
        <f t="shared" si="54"/>
        <v>防犯・交通安全対策</v>
      </c>
      <c r="I90" s="61" t="str">
        <f t="shared" si="54"/>
        <v>地域コミュニティの活性化</v>
      </c>
      <c r="J90" s="61" t="str">
        <f t="shared" si="54"/>
        <v>地域医療の確保</v>
      </c>
      <c r="K90" s="61" t="str">
        <f t="shared" si="54"/>
        <v>健康増進</v>
      </c>
      <c r="L90" s="61" t="str">
        <f t="shared" si="54"/>
        <v>食品の安全対策</v>
      </c>
      <c r="M90" s="61" t="str">
        <f t="shared" si="54"/>
        <v>薬物対策</v>
      </c>
      <c r="N90" s="61" t="str">
        <f t="shared" si="54"/>
        <v>高齢者福祉</v>
      </c>
      <c r="O90" s="61" t="str">
        <f t="shared" si="54"/>
        <v>障がい者福祉</v>
      </c>
      <c r="P90" s="61" t="str">
        <f t="shared" si="54"/>
        <v>少子化対策</v>
      </c>
      <c r="Q90" s="61" t="str">
        <f t="shared" si="54"/>
        <v>子育て支援</v>
      </c>
      <c r="R90" s="61" t="str">
        <f t="shared" si="54"/>
        <v>中小企業支援</v>
      </c>
      <c r="S90" s="61" t="str">
        <f t="shared" si="54"/>
        <v>企業誘致</v>
      </c>
      <c r="T90" s="61" t="str">
        <f t="shared" si="54"/>
        <v>成長産業分野の振興</v>
      </c>
      <c r="U90" s="61" t="str">
        <f t="shared" si="54"/>
        <v>観光振興</v>
      </c>
      <c r="V90" s="61" t="str">
        <f t="shared" si="54"/>
        <v>就労支援</v>
      </c>
      <c r="W90" s="61" t="str">
        <f t="shared" si="54"/>
        <v>労働環境改善</v>
      </c>
      <c r="X90" s="61" t="str">
        <f t="shared" si="54"/>
        <v>様々な産業を担う人材の育成</v>
      </c>
      <c r="Y90" s="61" t="str">
        <f t="shared" si="54"/>
        <v>女性の活躍推進</v>
      </c>
      <c r="Z90" s="61" t="str">
        <f t="shared" si="54"/>
        <v>農業等振興</v>
      </c>
      <c r="AA90" s="61" t="str">
        <f t="shared" si="54"/>
        <v>林業振興</v>
      </c>
      <c r="AB90" s="61" t="str">
        <f t="shared" si="54"/>
        <v>道路整備・維持管理</v>
      </c>
      <c r="AC90" s="61" t="str">
        <f t="shared" si="54"/>
        <v>河川整備・維持管理</v>
      </c>
      <c r="AD90" s="61" t="str">
        <f t="shared" si="54"/>
        <v>砂防対策</v>
      </c>
      <c r="AE90" s="61" t="str">
        <f t="shared" si="54"/>
        <v>公共交通の充実</v>
      </c>
      <c r="AF90" s="61" t="str">
        <f t="shared" si="54"/>
        <v>公園整備</v>
      </c>
      <c r="AG90" s="61" t="str">
        <f t="shared" si="54"/>
        <v>学校教育の充実</v>
      </c>
      <c r="AH90" s="61" t="str">
        <f t="shared" si="54"/>
        <v>社会教育・生涯学習の充実</v>
      </c>
      <c r="AI90" s="61" t="str">
        <f t="shared" si="54"/>
        <v>文化・芸術の振興</v>
      </c>
      <c r="AJ90" s="61" t="str">
        <f t="shared" si="54"/>
        <v>スポーツやレクリエーション
                        の推進</v>
      </c>
      <c r="AK90" s="61" t="str">
        <f t="shared" si="54"/>
        <v>若者の県内定着</v>
      </c>
      <c r="AL90" s="61" t="str">
        <f t="shared" si="54"/>
        <v>県外からの移住・定住の推進</v>
      </c>
      <c r="AM90" s="63"/>
      <c r="AN90" s="5" t="s">
        <v>118</v>
      </c>
    </row>
    <row r="91" spans="1:41" x14ac:dyDescent="0.2">
      <c r="A91" s="269" t="str">
        <f>'問9S（表）'!A53</f>
        <v>全体(n = 1,616 )　　</v>
      </c>
      <c r="B91" s="227" t="str">
        <f>'問9S（表）'!B53</f>
        <v>1,616</v>
      </c>
      <c r="C91" s="31">
        <f>$C$3</f>
        <v>453</v>
      </c>
      <c r="D91" s="32">
        <f>$D$3</f>
        <v>203</v>
      </c>
      <c r="E91" s="32">
        <f>$E$3</f>
        <v>55</v>
      </c>
      <c r="F91" s="32">
        <f>$F$3</f>
        <v>194</v>
      </c>
      <c r="G91" s="32">
        <f>$G$3</f>
        <v>29</v>
      </c>
      <c r="H91" s="32">
        <f>$H$3</f>
        <v>237</v>
      </c>
      <c r="I91" s="32">
        <f>$I$3</f>
        <v>127</v>
      </c>
      <c r="J91" s="32">
        <f>$J$3</f>
        <v>284</v>
      </c>
      <c r="K91" s="32">
        <f>$K$3</f>
        <v>178</v>
      </c>
      <c r="L91" s="32">
        <f>$L$3</f>
        <v>97</v>
      </c>
      <c r="M91" s="32">
        <f>$M$3</f>
        <v>23</v>
      </c>
      <c r="N91" s="32">
        <f>$N$3</f>
        <v>287</v>
      </c>
      <c r="O91" s="32">
        <f>$O$3</f>
        <v>100</v>
      </c>
      <c r="P91" s="32">
        <f>$P$3</f>
        <v>37</v>
      </c>
      <c r="Q91" s="32">
        <f>$Q$3</f>
        <v>248</v>
      </c>
      <c r="R91" s="32">
        <f>$R$3</f>
        <v>71</v>
      </c>
      <c r="S91" s="32">
        <f>$S$3</f>
        <v>48</v>
      </c>
      <c r="T91" s="32">
        <f>$T$3</f>
        <v>35</v>
      </c>
      <c r="U91" s="32">
        <f>$U$3</f>
        <v>180</v>
      </c>
      <c r="V91" s="32">
        <f>$V$3</f>
        <v>38</v>
      </c>
      <c r="W91" s="32">
        <f>$W$3</f>
        <v>18</v>
      </c>
      <c r="X91" s="32">
        <f>$X$3</f>
        <v>12</v>
      </c>
      <c r="Y91" s="32">
        <f>$Y$3</f>
        <v>23</v>
      </c>
      <c r="Z91" s="32">
        <f>$Z$3</f>
        <v>76</v>
      </c>
      <c r="AA91" s="32">
        <f>$AA$3</f>
        <v>21</v>
      </c>
      <c r="AB91" s="32">
        <f>$AB$3</f>
        <v>296</v>
      </c>
      <c r="AC91" s="32">
        <f>$AC$3</f>
        <v>213</v>
      </c>
      <c r="AD91" s="32">
        <f>$AD$3</f>
        <v>75</v>
      </c>
      <c r="AE91" s="32">
        <f>$AE$3</f>
        <v>91</v>
      </c>
      <c r="AF91" s="32">
        <f>$AF$3</f>
        <v>136</v>
      </c>
      <c r="AG91" s="32">
        <f>$AG$3</f>
        <v>134</v>
      </c>
      <c r="AH91" s="32">
        <f>$AH$3</f>
        <v>64</v>
      </c>
      <c r="AI91" s="32">
        <f>$AI$3</f>
        <v>94</v>
      </c>
      <c r="AJ91" s="32">
        <f>$AJ$3</f>
        <v>123</v>
      </c>
      <c r="AK91" s="32">
        <f>$AK$3</f>
        <v>30</v>
      </c>
      <c r="AL91" s="32">
        <f>$AL$3</f>
        <v>57</v>
      </c>
      <c r="AM91" s="33"/>
      <c r="AN91" s="5">
        <f>SUM($C91:AM91)</f>
        <v>4387</v>
      </c>
    </row>
    <row r="92" spans="1:41" x14ac:dyDescent="0.2">
      <c r="A92" s="270"/>
      <c r="B92" s="35">
        <f>'問9S（表）'!B54</f>
        <v>100</v>
      </c>
      <c r="C92" s="20">
        <f t="shared" ref="C92:AL92" si="55">C91/$B$91*100</f>
        <v>28.032178217821784</v>
      </c>
      <c r="D92" s="207">
        <f t="shared" si="55"/>
        <v>12.561881188118813</v>
      </c>
      <c r="E92" s="207">
        <f t="shared" si="55"/>
        <v>3.4034653465346536</v>
      </c>
      <c r="F92" s="207">
        <f t="shared" si="55"/>
        <v>12.004950495049505</v>
      </c>
      <c r="G92" s="207">
        <f t="shared" si="55"/>
        <v>1.7945544554455444</v>
      </c>
      <c r="H92" s="207">
        <f t="shared" si="55"/>
        <v>14.665841584158414</v>
      </c>
      <c r="I92" s="207">
        <f t="shared" si="55"/>
        <v>7.858910891089109</v>
      </c>
      <c r="J92" s="207">
        <f t="shared" si="55"/>
        <v>17.574257425742573</v>
      </c>
      <c r="K92" s="207">
        <f t="shared" si="55"/>
        <v>11.014851485148515</v>
      </c>
      <c r="L92" s="207">
        <f t="shared" si="55"/>
        <v>6.0024752475247523</v>
      </c>
      <c r="M92" s="207">
        <f t="shared" si="55"/>
        <v>1.4232673267326734</v>
      </c>
      <c r="N92" s="207">
        <f t="shared" si="55"/>
        <v>17.759900990099009</v>
      </c>
      <c r="O92" s="207">
        <f t="shared" si="55"/>
        <v>6.1881188118811883</v>
      </c>
      <c r="P92" s="207">
        <f t="shared" si="55"/>
        <v>2.2896039603960396</v>
      </c>
      <c r="Q92" s="207">
        <f t="shared" si="55"/>
        <v>15.346534653465346</v>
      </c>
      <c r="R92" s="207">
        <f t="shared" si="55"/>
        <v>4.3935643564356432</v>
      </c>
      <c r="S92" s="207">
        <f t="shared" si="55"/>
        <v>2.9702970297029703</v>
      </c>
      <c r="T92" s="207">
        <f t="shared" si="55"/>
        <v>2.1658415841584158</v>
      </c>
      <c r="U92" s="207">
        <f t="shared" si="55"/>
        <v>11.138613861386139</v>
      </c>
      <c r="V92" s="207">
        <f t="shared" si="55"/>
        <v>2.3514851485148514</v>
      </c>
      <c r="W92" s="207">
        <f t="shared" si="55"/>
        <v>1.1138613861386137</v>
      </c>
      <c r="X92" s="207">
        <f t="shared" si="55"/>
        <v>0.74257425742574257</v>
      </c>
      <c r="Y92" s="207">
        <f t="shared" si="55"/>
        <v>1.4232673267326734</v>
      </c>
      <c r="Z92" s="207">
        <f t="shared" si="55"/>
        <v>4.7029702970297027</v>
      </c>
      <c r="AA92" s="207">
        <f t="shared" si="55"/>
        <v>1.2995049504950495</v>
      </c>
      <c r="AB92" s="207">
        <f t="shared" si="55"/>
        <v>18.316831683168317</v>
      </c>
      <c r="AC92" s="207">
        <f t="shared" si="55"/>
        <v>13.180693069306932</v>
      </c>
      <c r="AD92" s="207">
        <f t="shared" si="55"/>
        <v>4.641089108910891</v>
      </c>
      <c r="AE92" s="207">
        <f t="shared" si="55"/>
        <v>5.6311881188118811</v>
      </c>
      <c r="AF92" s="207">
        <f t="shared" si="55"/>
        <v>8.4158415841584162</v>
      </c>
      <c r="AG92" s="207">
        <f t="shared" si="55"/>
        <v>8.2920792079207928</v>
      </c>
      <c r="AH92" s="207">
        <f t="shared" si="55"/>
        <v>3.9603960396039604</v>
      </c>
      <c r="AI92" s="207">
        <f t="shared" si="55"/>
        <v>5.8168316831683171</v>
      </c>
      <c r="AJ92" s="207">
        <f t="shared" si="55"/>
        <v>7.6113861386138613</v>
      </c>
      <c r="AK92" s="207">
        <f t="shared" si="55"/>
        <v>1.8564356435643563</v>
      </c>
      <c r="AL92" s="207">
        <f t="shared" si="55"/>
        <v>3.527227722772277</v>
      </c>
      <c r="AM92" s="208"/>
      <c r="AN92" s="195"/>
    </row>
    <row r="93" spans="1:41" x14ac:dyDescent="0.2">
      <c r="A93" s="269" t="str">
        <f>'問9S（表）'!A55</f>
        <v>岐阜圏域(n = 617 )　　</v>
      </c>
      <c r="B93" s="34">
        <f>'問9S（表）'!B55</f>
        <v>617</v>
      </c>
      <c r="C93" s="31">
        <v>163</v>
      </c>
      <c r="D93" s="32">
        <v>66</v>
      </c>
      <c r="E93" s="32">
        <v>12</v>
      </c>
      <c r="F93" s="32">
        <v>77</v>
      </c>
      <c r="G93" s="32">
        <v>10</v>
      </c>
      <c r="H93" s="32">
        <v>86</v>
      </c>
      <c r="I93" s="32">
        <v>57</v>
      </c>
      <c r="J93" s="32">
        <v>116</v>
      </c>
      <c r="K93" s="32">
        <v>71</v>
      </c>
      <c r="L93" s="32">
        <v>29</v>
      </c>
      <c r="M93" s="32">
        <v>7</v>
      </c>
      <c r="N93" s="32">
        <v>100</v>
      </c>
      <c r="O93" s="32">
        <v>36</v>
      </c>
      <c r="P93" s="32">
        <v>10</v>
      </c>
      <c r="Q93" s="32">
        <v>99</v>
      </c>
      <c r="R93" s="32">
        <v>19</v>
      </c>
      <c r="S93" s="32">
        <v>12</v>
      </c>
      <c r="T93" s="32">
        <v>14</v>
      </c>
      <c r="U93" s="32">
        <v>54</v>
      </c>
      <c r="V93" s="32">
        <v>13</v>
      </c>
      <c r="W93" s="32">
        <v>6</v>
      </c>
      <c r="X93" s="32">
        <v>5</v>
      </c>
      <c r="Y93" s="32">
        <v>9</v>
      </c>
      <c r="Z93" s="32">
        <v>19</v>
      </c>
      <c r="AA93" s="32">
        <v>2</v>
      </c>
      <c r="AB93" s="32">
        <v>99</v>
      </c>
      <c r="AC93" s="32">
        <v>82</v>
      </c>
      <c r="AD93" s="32">
        <v>16</v>
      </c>
      <c r="AE93" s="32">
        <v>48</v>
      </c>
      <c r="AF93" s="32">
        <v>79</v>
      </c>
      <c r="AG93" s="32">
        <v>58</v>
      </c>
      <c r="AH93" s="32">
        <v>25</v>
      </c>
      <c r="AI93" s="32">
        <v>36</v>
      </c>
      <c r="AJ93" s="32">
        <v>43</v>
      </c>
      <c r="AK93" s="32">
        <v>10</v>
      </c>
      <c r="AL93" s="32">
        <v>11</v>
      </c>
      <c r="AM93" s="33"/>
      <c r="AN93" s="5">
        <f>SUM($C93:AM93)</f>
        <v>1599</v>
      </c>
      <c r="AO93" t="str">
        <f>" 岐阜圏域（ n = "&amp;B93&amp;"）"</f>
        <v xml:space="preserve"> 岐阜圏域（ n = 617）</v>
      </c>
    </row>
    <row r="94" spans="1:41" x14ac:dyDescent="0.2">
      <c r="A94" s="270"/>
      <c r="B94" s="35">
        <f>'問9S（表）'!B56</f>
        <v>38.180693069306933</v>
      </c>
      <c r="C94" s="20">
        <f t="shared" ref="C94:AL94" si="56">C93/$B$93*100</f>
        <v>26.418152350081037</v>
      </c>
      <c r="D94" s="207">
        <f t="shared" si="56"/>
        <v>10.696920583468396</v>
      </c>
      <c r="E94" s="207">
        <f t="shared" si="56"/>
        <v>1.9448946515397085</v>
      </c>
      <c r="F94" s="207">
        <f t="shared" si="56"/>
        <v>12.479740680713128</v>
      </c>
      <c r="G94" s="207">
        <f t="shared" si="56"/>
        <v>1.6207455429497568</v>
      </c>
      <c r="H94" s="207">
        <f t="shared" si="56"/>
        <v>13.938411669367909</v>
      </c>
      <c r="I94" s="207">
        <f t="shared" si="56"/>
        <v>9.238249594813615</v>
      </c>
      <c r="J94" s="207">
        <f t="shared" si="56"/>
        <v>18.80064829821718</v>
      </c>
      <c r="K94" s="207">
        <f t="shared" si="56"/>
        <v>11.507293354943274</v>
      </c>
      <c r="L94" s="207">
        <f t="shared" si="56"/>
        <v>4.7001620745542949</v>
      </c>
      <c r="M94" s="207">
        <f t="shared" si="56"/>
        <v>1.1345218800648298</v>
      </c>
      <c r="N94" s="207">
        <f t="shared" si="56"/>
        <v>16.207455429497568</v>
      </c>
      <c r="O94" s="207">
        <f t="shared" si="56"/>
        <v>5.8346839546191251</v>
      </c>
      <c r="P94" s="207">
        <f t="shared" si="56"/>
        <v>1.6207455429497568</v>
      </c>
      <c r="Q94" s="207">
        <f t="shared" si="56"/>
        <v>16.045380875202593</v>
      </c>
      <c r="R94" s="207">
        <f t="shared" si="56"/>
        <v>3.0794165316045379</v>
      </c>
      <c r="S94" s="207">
        <f t="shared" si="56"/>
        <v>1.9448946515397085</v>
      </c>
      <c r="T94" s="207">
        <f t="shared" si="56"/>
        <v>2.2690437601296596</v>
      </c>
      <c r="U94" s="207">
        <f t="shared" si="56"/>
        <v>8.7520259319286886</v>
      </c>
      <c r="V94" s="207">
        <f t="shared" si="56"/>
        <v>2.1069692058346838</v>
      </c>
      <c r="W94" s="207">
        <f t="shared" si="56"/>
        <v>0.97244732576985426</v>
      </c>
      <c r="X94" s="207">
        <f t="shared" si="56"/>
        <v>0.81037277147487841</v>
      </c>
      <c r="Y94" s="207">
        <f t="shared" si="56"/>
        <v>1.4586709886547813</v>
      </c>
      <c r="Z94" s="207">
        <f t="shared" si="56"/>
        <v>3.0794165316045379</v>
      </c>
      <c r="AA94" s="207">
        <f t="shared" si="56"/>
        <v>0.32414910858995138</v>
      </c>
      <c r="AB94" s="207">
        <f t="shared" si="56"/>
        <v>16.045380875202593</v>
      </c>
      <c r="AC94" s="207">
        <f t="shared" si="56"/>
        <v>13.290113452188008</v>
      </c>
      <c r="AD94" s="207">
        <f t="shared" si="56"/>
        <v>2.5931928687196111</v>
      </c>
      <c r="AE94" s="207">
        <f t="shared" si="56"/>
        <v>7.7795786061588341</v>
      </c>
      <c r="AF94" s="207">
        <f t="shared" si="56"/>
        <v>12.80388978930308</v>
      </c>
      <c r="AG94" s="207">
        <f t="shared" si="56"/>
        <v>9.4003241491085898</v>
      </c>
      <c r="AH94" s="207">
        <f t="shared" si="56"/>
        <v>4.0518638573743919</v>
      </c>
      <c r="AI94" s="207">
        <f t="shared" si="56"/>
        <v>5.8346839546191251</v>
      </c>
      <c r="AJ94" s="207">
        <f t="shared" si="56"/>
        <v>6.9692058346839545</v>
      </c>
      <c r="AK94" s="207">
        <f t="shared" si="56"/>
        <v>1.6207455429497568</v>
      </c>
      <c r="AL94" s="207">
        <f t="shared" si="56"/>
        <v>1.7828200972447326</v>
      </c>
      <c r="AM94" s="208"/>
      <c r="AN94" s="195"/>
    </row>
    <row r="95" spans="1:41" x14ac:dyDescent="0.2">
      <c r="A95" s="269" t="str">
        <f>'問9S（表）'!A57</f>
        <v>西濃圏域(n = 290 )　　</v>
      </c>
      <c r="B95" s="34">
        <f>'問9S（表）'!B57</f>
        <v>290</v>
      </c>
      <c r="C95" s="31">
        <v>91</v>
      </c>
      <c r="D95" s="32">
        <v>41</v>
      </c>
      <c r="E95" s="32">
        <v>16</v>
      </c>
      <c r="F95" s="32">
        <v>36</v>
      </c>
      <c r="G95" s="32">
        <v>7</v>
      </c>
      <c r="H95" s="32">
        <v>42</v>
      </c>
      <c r="I95" s="32">
        <v>18</v>
      </c>
      <c r="J95" s="32">
        <v>60</v>
      </c>
      <c r="K95" s="32">
        <v>32</v>
      </c>
      <c r="L95" s="32">
        <v>16</v>
      </c>
      <c r="M95" s="32">
        <v>5</v>
      </c>
      <c r="N95" s="32">
        <v>62</v>
      </c>
      <c r="O95" s="32">
        <v>17</v>
      </c>
      <c r="P95" s="32">
        <v>13</v>
      </c>
      <c r="Q95" s="32">
        <v>66</v>
      </c>
      <c r="R95" s="32">
        <v>14</v>
      </c>
      <c r="S95" s="32">
        <v>10</v>
      </c>
      <c r="T95" s="32">
        <v>8</v>
      </c>
      <c r="U95" s="32">
        <v>27</v>
      </c>
      <c r="V95" s="32">
        <v>5</v>
      </c>
      <c r="W95" s="32">
        <v>5</v>
      </c>
      <c r="X95" s="32">
        <v>1</v>
      </c>
      <c r="Y95" s="32">
        <v>7</v>
      </c>
      <c r="Z95" s="32">
        <v>18</v>
      </c>
      <c r="AA95" s="32">
        <v>5</v>
      </c>
      <c r="AB95" s="32">
        <v>60</v>
      </c>
      <c r="AC95" s="32">
        <v>54</v>
      </c>
      <c r="AD95" s="32">
        <v>17</v>
      </c>
      <c r="AE95" s="32">
        <v>18</v>
      </c>
      <c r="AF95" s="32">
        <v>18</v>
      </c>
      <c r="AG95" s="32">
        <v>30</v>
      </c>
      <c r="AH95" s="32">
        <v>12</v>
      </c>
      <c r="AI95" s="32">
        <v>19</v>
      </c>
      <c r="AJ95" s="32">
        <v>25</v>
      </c>
      <c r="AK95" s="32">
        <v>5</v>
      </c>
      <c r="AL95" s="32">
        <v>7</v>
      </c>
      <c r="AM95" s="33"/>
      <c r="AN95" s="5">
        <f>SUM($C95:AM95)</f>
        <v>887</v>
      </c>
      <c r="AO95" t="str">
        <f>" 西濃圏域（ n = "&amp;B95&amp;"）"</f>
        <v xml:space="preserve"> 西濃圏域（ n = 290）</v>
      </c>
    </row>
    <row r="96" spans="1:41" x14ac:dyDescent="0.2">
      <c r="A96" s="270"/>
      <c r="B96" s="35">
        <f>'問9S（表）'!B58</f>
        <v>17.945544554455445</v>
      </c>
      <c r="C96" s="20">
        <f t="shared" ref="C96:AL96" si="57">C95/$B$95*100</f>
        <v>31.379310344827587</v>
      </c>
      <c r="D96" s="207">
        <f t="shared" si="57"/>
        <v>14.13793103448276</v>
      </c>
      <c r="E96" s="207">
        <f t="shared" si="57"/>
        <v>5.5172413793103452</v>
      </c>
      <c r="F96" s="207">
        <f t="shared" si="57"/>
        <v>12.413793103448276</v>
      </c>
      <c r="G96" s="207">
        <f t="shared" si="57"/>
        <v>2.4137931034482758</v>
      </c>
      <c r="H96" s="207">
        <f t="shared" si="57"/>
        <v>14.482758620689657</v>
      </c>
      <c r="I96" s="207">
        <f t="shared" si="57"/>
        <v>6.2068965517241379</v>
      </c>
      <c r="J96" s="207">
        <f t="shared" si="57"/>
        <v>20.689655172413794</v>
      </c>
      <c r="K96" s="207">
        <f t="shared" si="57"/>
        <v>11.03448275862069</v>
      </c>
      <c r="L96" s="207">
        <f t="shared" si="57"/>
        <v>5.5172413793103452</v>
      </c>
      <c r="M96" s="207">
        <f t="shared" si="57"/>
        <v>1.7241379310344827</v>
      </c>
      <c r="N96" s="207">
        <f t="shared" si="57"/>
        <v>21.379310344827587</v>
      </c>
      <c r="O96" s="207">
        <f t="shared" si="57"/>
        <v>5.8620689655172411</v>
      </c>
      <c r="P96" s="207">
        <f t="shared" si="57"/>
        <v>4.4827586206896548</v>
      </c>
      <c r="Q96" s="207">
        <f t="shared" si="57"/>
        <v>22.758620689655174</v>
      </c>
      <c r="R96" s="207">
        <f t="shared" si="57"/>
        <v>4.8275862068965516</v>
      </c>
      <c r="S96" s="207">
        <f t="shared" si="57"/>
        <v>3.4482758620689653</v>
      </c>
      <c r="T96" s="207">
        <f t="shared" si="57"/>
        <v>2.7586206896551726</v>
      </c>
      <c r="U96" s="207">
        <f t="shared" si="57"/>
        <v>9.3103448275862082</v>
      </c>
      <c r="V96" s="207">
        <f t="shared" si="57"/>
        <v>1.7241379310344827</v>
      </c>
      <c r="W96" s="207">
        <f t="shared" si="57"/>
        <v>1.7241379310344827</v>
      </c>
      <c r="X96" s="207">
        <f t="shared" si="57"/>
        <v>0.34482758620689657</v>
      </c>
      <c r="Y96" s="207">
        <f t="shared" si="57"/>
        <v>2.4137931034482758</v>
      </c>
      <c r="Z96" s="207">
        <f t="shared" si="57"/>
        <v>6.2068965517241379</v>
      </c>
      <c r="AA96" s="207">
        <f t="shared" si="57"/>
        <v>1.7241379310344827</v>
      </c>
      <c r="AB96" s="207">
        <f t="shared" si="57"/>
        <v>20.689655172413794</v>
      </c>
      <c r="AC96" s="207">
        <f t="shared" si="57"/>
        <v>18.620689655172416</v>
      </c>
      <c r="AD96" s="207">
        <f t="shared" si="57"/>
        <v>5.8620689655172411</v>
      </c>
      <c r="AE96" s="207">
        <f t="shared" si="57"/>
        <v>6.2068965517241379</v>
      </c>
      <c r="AF96" s="207">
        <f t="shared" si="57"/>
        <v>6.2068965517241379</v>
      </c>
      <c r="AG96" s="207">
        <f t="shared" si="57"/>
        <v>10.344827586206897</v>
      </c>
      <c r="AH96" s="207">
        <f t="shared" si="57"/>
        <v>4.1379310344827589</v>
      </c>
      <c r="AI96" s="207">
        <f t="shared" si="57"/>
        <v>6.5517241379310347</v>
      </c>
      <c r="AJ96" s="207">
        <f t="shared" si="57"/>
        <v>8.6206896551724146</v>
      </c>
      <c r="AK96" s="207">
        <f t="shared" si="57"/>
        <v>1.7241379310344827</v>
      </c>
      <c r="AL96" s="207">
        <f t="shared" si="57"/>
        <v>2.4137931034482758</v>
      </c>
      <c r="AM96" s="208"/>
      <c r="AN96" s="195"/>
    </row>
    <row r="97" spans="1:43" x14ac:dyDescent="0.2">
      <c r="A97" s="269" t="str">
        <f>'問9S（表）'!A59</f>
        <v>中濃圏域(n = 300 )　　</v>
      </c>
      <c r="B97" s="34">
        <f>'問9S（表）'!B59</f>
        <v>300</v>
      </c>
      <c r="C97" s="31">
        <v>76</v>
      </c>
      <c r="D97" s="32">
        <v>46</v>
      </c>
      <c r="E97" s="32">
        <v>11</v>
      </c>
      <c r="F97" s="32">
        <v>36</v>
      </c>
      <c r="G97" s="32">
        <v>6</v>
      </c>
      <c r="H97" s="32">
        <v>52</v>
      </c>
      <c r="I97" s="32">
        <v>24</v>
      </c>
      <c r="J97" s="32">
        <v>64</v>
      </c>
      <c r="K97" s="32">
        <v>34</v>
      </c>
      <c r="L97" s="32">
        <v>21</v>
      </c>
      <c r="M97" s="32">
        <v>6</v>
      </c>
      <c r="N97" s="32">
        <v>55</v>
      </c>
      <c r="O97" s="32">
        <v>22</v>
      </c>
      <c r="P97" s="32">
        <v>6</v>
      </c>
      <c r="Q97" s="32">
        <v>44</v>
      </c>
      <c r="R97" s="32">
        <v>18</v>
      </c>
      <c r="S97" s="32">
        <v>9</v>
      </c>
      <c r="T97" s="32">
        <v>7</v>
      </c>
      <c r="U97" s="32">
        <v>37</v>
      </c>
      <c r="V97" s="32">
        <v>8</v>
      </c>
      <c r="W97" s="32">
        <v>3</v>
      </c>
      <c r="X97" s="32">
        <v>3</v>
      </c>
      <c r="Y97" s="32">
        <v>2</v>
      </c>
      <c r="Z97" s="32">
        <v>21</v>
      </c>
      <c r="AA97" s="32">
        <v>6</v>
      </c>
      <c r="AB97" s="32">
        <v>65</v>
      </c>
      <c r="AC97" s="32">
        <v>33</v>
      </c>
      <c r="AD97" s="32">
        <v>13</v>
      </c>
      <c r="AE97" s="32">
        <v>12</v>
      </c>
      <c r="AF97" s="32">
        <v>16</v>
      </c>
      <c r="AG97" s="32">
        <v>26</v>
      </c>
      <c r="AH97" s="32">
        <v>13</v>
      </c>
      <c r="AI97" s="32">
        <v>14</v>
      </c>
      <c r="AJ97" s="32">
        <v>25</v>
      </c>
      <c r="AK97" s="32">
        <v>6</v>
      </c>
      <c r="AL97" s="32">
        <v>16</v>
      </c>
      <c r="AM97" s="33"/>
      <c r="AN97" s="5">
        <f>SUM($C97:AM97)</f>
        <v>856</v>
      </c>
      <c r="AO97" t="str">
        <f>" 中濃圏域（ n = "&amp;B97&amp;"）"</f>
        <v xml:space="preserve"> 中濃圏域（ n = 300）</v>
      </c>
    </row>
    <row r="98" spans="1:43" x14ac:dyDescent="0.2">
      <c r="A98" s="270"/>
      <c r="B98" s="35">
        <f>'問9S（表）'!B60</f>
        <v>18.564356435643564</v>
      </c>
      <c r="C98" s="20">
        <f t="shared" ref="C98:AL98" si="58">C97/$B$97*100</f>
        <v>25.333333333333336</v>
      </c>
      <c r="D98" s="207">
        <f t="shared" si="58"/>
        <v>15.333333333333332</v>
      </c>
      <c r="E98" s="207">
        <f t="shared" si="58"/>
        <v>3.6666666666666665</v>
      </c>
      <c r="F98" s="207">
        <f t="shared" si="58"/>
        <v>12</v>
      </c>
      <c r="G98" s="207">
        <f t="shared" si="58"/>
        <v>2</v>
      </c>
      <c r="H98" s="207">
        <f t="shared" si="58"/>
        <v>17.333333333333336</v>
      </c>
      <c r="I98" s="207">
        <f t="shared" si="58"/>
        <v>8</v>
      </c>
      <c r="J98" s="207">
        <f t="shared" si="58"/>
        <v>21.333333333333336</v>
      </c>
      <c r="K98" s="207">
        <f t="shared" si="58"/>
        <v>11.333333333333332</v>
      </c>
      <c r="L98" s="207">
        <f t="shared" si="58"/>
        <v>7.0000000000000009</v>
      </c>
      <c r="M98" s="207">
        <f t="shared" si="58"/>
        <v>2</v>
      </c>
      <c r="N98" s="207">
        <f t="shared" si="58"/>
        <v>18.333333333333332</v>
      </c>
      <c r="O98" s="207">
        <f t="shared" si="58"/>
        <v>7.333333333333333</v>
      </c>
      <c r="P98" s="207">
        <f t="shared" si="58"/>
        <v>2</v>
      </c>
      <c r="Q98" s="207">
        <f t="shared" si="58"/>
        <v>14.666666666666666</v>
      </c>
      <c r="R98" s="207">
        <f t="shared" si="58"/>
        <v>6</v>
      </c>
      <c r="S98" s="207">
        <f t="shared" si="58"/>
        <v>3</v>
      </c>
      <c r="T98" s="207">
        <f t="shared" si="58"/>
        <v>2.3333333333333335</v>
      </c>
      <c r="U98" s="207">
        <f t="shared" si="58"/>
        <v>12.333333333333334</v>
      </c>
      <c r="V98" s="207">
        <f t="shared" si="58"/>
        <v>2.666666666666667</v>
      </c>
      <c r="W98" s="207">
        <f t="shared" si="58"/>
        <v>1</v>
      </c>
      <c r="X98" s="207">
        <f t="shared" si="58"/>
        <v>1</v>
      </c>
      <c r="Y98" s="207">
        <f t="shared" si="58"/>
        <v>0.66666666666666674</v>
      </c>
      <c r="Z98" s="207">
        <f t="shared" si="58"/>
        <v>7.0000000000000009</v>
      </c>
      <c r="AA98" s="207">
        <f t="shared" si="58"/>
        <v>2</v>
      </c>
      <c r="AB98" s="207">
        <f t="shared" si="58"/>
        <v>21.666666666666668</v>
      </c>
      <c r="AC98" s="207">
        <f t="shared" si="58"/>
        <v>11</v>
      </c>
      <c r="AD98" s="207">
        <f t="shared" si="58"/>
        <v>4.3333333333333339</v>
      </c>
      <c r="AE98" s="207">
        <f t="shared" si="58"/>
        <v>4</v>
      </c>
      <c r="AF98" s="207">
        <f t="shared" si="58"/>
        <v>5.3333333333333339</v>
      </c>
      <c r="AG98" s="207">
        <f t="shared" si="58"/>
        <v>8.6666666666666679</v>
      </c>
      <c r="AH98" s="207">
        <f t="shared" si="58"/>
        <v>4.3333333333333339</v>
      </c>
      <c r="AI98" s="207">
        <f t="shared" si="58"/>
        <v>4.666666666666667</v>
      </c>
      <c r="AJ98" s="207">
        <f t="shared" si="58"/>
        <v>8.3333333333333321</v>
      </c>
      <c r="AK98" s="207">
        <f t="shared" si="58"/>
        <v>2</v>
      </c>
      <c r="AL98" s="207">
        <f t="shared" si="58"/>
        <v>5.3333333333333339</v>
      </c>
      <c r="AM98" s="208"/>
      <c r="AN98" s="195"/>
    </row>
    <row r="99" spans="1:43" x14ac:dyDescent="0.2">
      <c r="A99" s="269" t="str">
        <f>'問9S（表）'!A61</f>
        <v>東濃圏域(n = 271 )　　</v>
      </c>
      <c r="B99" s="34">
        <f>'問9S（表）'!B61</f>
        <v>271</v>
      </c>
      <c r="C99" s="31">
        <v>83</v>
      </c>
      <c r="D99" s="32">
        <v>30</v>
      </c>
      <c r="E99" s="32">
        <v>11</v>
      </c>
      <c r="F99" s="32">
        <v>30</v>
      </c>
      <c r="G99" s="32">
        <v>4</v>
      </c>
      <c r="H99" s="32">
        <v>40</v>
      </c>
      <c r="I99" s="32">
        <v>21</v>
      </c>
      <c r="J99" s="32">
        <v>32</v>
      </c>
      <c r="K99" s="32">
        <v>31</v>
      </c>
      <c r="L99" s="32">
        <v>18</v>
      </c>
      <c r="M99" s="32">
        <v>3</v>
      </c>
      <c r="N99" s="32">
        <v>42</v>
      </c>
      <c r="O99" s="32">
        <v>15</v>
      </c>
      <c r="P99" s="32">
        <v>6</v>
      </c>
      <c r="Q99" s="32">
        <v>20</v>
      </c>
      <c r="R99" s="32">
        <v>14</v>
      </c>
      <c r="S99" s="32">
        <v>14</v>
      </c>
      <c r="T99" s="32">
        <v>5</v>
      </c>
      <c r="U99" s="32">
        <v>36</v>
      </c>
      <c r="V99" s="32">
        <v>10</v>
      </c>
      <c r="W99" s="32">
        <v>3</v>
      </c>
      <c r="X99" s="32">
        <v>3</v>
      </c>
      <c r="Y99" s="32">
        <v>3</v>
      </c>
      <c r="Z99" s="32">
        <v>8</v>
      </c>
      <c r="AA99" s="32">
        <v>6</v>
      </c>
      <c r="AB99" s="32">
        <v>47</v>
      </c>
      <c r="AC99" s="32">
        <v>26</v>
      </c>
      <c r="AD99" s="32">
        <v>19</v>
      </c>
      <c r="AE99" s="32">
        <v>9</v>
      </c>
      <c r="AF99" s="32">
        <v>14</v>
      </c>
      <c r="AG99" s="32">
        <v>13</v>
      </c>
      <c r="AH99" s="32">
        <v>7</v>
      </c>
      <c r="AI99" s="32">
        <v>18</v>
      </c>
      <c r="AJ99" s="32">
        <v>20</v>
      </c>
      <c r="AK99" s="32">
        <v>5</v>
      </c>
      <c r="AL99" s="32">
        <v>15</v>
      </c>
      <c r="AM99" s="33"/>
      <c r="AN99" s="5">
        <f>SUM($C99:AM99)</f>
        <v>681</v>
      </c>
      <c r="AO99" t="str">
        <f>" 東濃圏域（ n = "&amp;B99&amp;"）"</f>
        <v xml:space="preserve"> 東濃圏域（ n = 271）</v>
      </c>
    </row>
    <row r="100" spans="1:43" x14ac:dyDescent="0.2">
      <c r="A100" s="270"/>
      <c r="B100" s="35">
        <f>'問9S（表）'!B62</f>
        <v>16.769801980198022</v>
      </c>
      <c r="C100" s="20">
        <f t="shared" ref="C100:AL100" si="59">C99/$B$99*100</f>
        <v>30.627306273062732</v>
      </c>
      <c r="D100" s="207">
        <f t="shared" si="59"/>
        <v>11.07011070110701</v>
      </c>
      <c r="E100" s="207">
        <f t="shared" si="59"/>
        <v>4.0590405904059041</v>
      </c>
      <c r="F100" s="207">
        <f t="shared" si="59"/>
        <v>11.07011070110701</v>
      </c>
      <c r="G100" s="207">
        <f t="shared" si="59"/>
        <v>1.4760147601476015</v>
      </c>
      <c r="H100" s="207">
        <f t="shared" si="59"/>
        <v>14.760147601476014</v>
      </c>
      <c r="I100" s="207">
        <f t="shared" si="59"/>
        <v>7.7490774907749085</v>
      </c>
      <c r="J100" s="207">
        <f t="shared" si="59"/>
        <v>11.808118081180812</v>
      </c>
      <c r="K100" s="207">
        <f t="shared" si="59"/>
        <v>11.439114391143912</v>
      </c>
      <c r="L100" s="207">
        <f t="shared" si="59"/>
        <v>6.6420664206642073</v>
      </c>
      <c r="M100" s="207">
        <f t="shared" si="59"/>
        <v>1.107011070110701</v>
      </c>
      <c r="N100" s="207">
        <f t="shared" si="59"/>
        <v>15.498154981549817</v>
      </c>
      <c r="O100" s="207">
        <f t="shared" si="59"/>
        <v>5.5350553505535052</v>
      </c>
      <c r="P100" s="207">
        <f t="shared" si="59"/>
        <v>2.214022140221402</v>
      </c>
      <c r="Q100" s="207">
        <f t="shared" si="59"/>
        <v>7.3800738007380069</v>
      </c>
      <c r="R100" s="207">
        <f t="shared" si="59"/>
        <v>5.1660516605166054</v>
      </c>
      <c r="S100" s="207">
        <f t="shared" si="59"/>
        <v>5.1660516605166054</v>
      </c>
      <c r="T100" s="207">
        <f t="shared" si="59"/>
        <v>1.8450184501845017</v>
      </c>
      <c r="U100" s="207">
        <f t="shared" si="59"/>
        <v>13.284132841328415</v>
      </c>
      <c r="V100" s="207">
        <f t="shared" si="59"/>
        <v>3.6900369003690034</v>
      </c>
      <c r="W100" s="207">
        <f t="shared" si="59"/>
        <v>1.107011070110701</v>
      </c>
      <c r="X100" s="207">
        <f t="shared" si="59"/>
        <v>1.107011070110701</v>
      </c>
      <c r="Y100" s="207">
        <f t="shared" si="59"/>
        <v>1.107011070110701</v>
      </c>
      <c r="Z100" s="207">
        <f t="shared" si="59"/>
        <v>2.9520295202952029</v>
      </c>
      <c r="AA100" s="207">
        <f t="shared" si="59"/>
        <v>2.214022140221402</v>
      </c>
      <c r="AB100" s="207">
        <f t="shared" si="59"/>
        <v>17.343173431734318</v>
      </c>
      <c r="AC100" s="207">
        <f t="shared" si="59"/>
        <v>9.5940959409594093</v>
      </c>
      <c r="AD100" s="207">
        <f t="shared" si="59"/>
        <v>7.0110701107011062</v>
      </c>
      <c r="AE100" s="207">
        <f t="shared" si="59"/>
        <v>3.3210332103321036</v>
      </c>
      <c r="AF100" s="207">
        <f t="shared" si="59"/>
        <v>5.1660516605166054</v>
      </c>
      <c r="AG100" s="207">
        <f t="shared" si="59"/>
        <v>4.7970479704797047</v>
      </c>
      <c r="AH100" s="207">
        <f t="shared" si="59"/>
        <v>2.5830258302583027</v>
      </c>
      <c r="AI100" s="207">
        <f t="shared" si="59"/>
        <v>6.6420664206642073</v>
      </c>
      <c r="AJ100" s="207">
        <f t="shared" si="59"/>
        <v>7.3800738007380069</v>
      </c>
      <c r="AK100" s="207">
        <f t="shared" si="59"/>
        <v>1.8450184501845017</v>
      </c>
      <c r="AL100" s="207">
        <f t="shared" si="59"/>
        <v>5.5350553505535052</v>
      </c>
      <c r="AM100" s="208"/>
      <c r="AN100" s="195"/>
    </row>
    <row r="101" spans="1:43" x14ac:dyDescent="0.2">
      <c r="A101" s="269" t="str">
        <f>'問9S（表）'!A63</f>
        <v>飛騨圏域(n = 106 )　　</v>
      </c>
      <c r="B101" s="34">
        <f>'問9S（表）'!B63</f>
        <v>106</v>
      </c>
      <c r="C101" s="31">
        <v>35</v>
      </c>
      <c r="D101" s="32">
        <v>17</v>
      </c>
      <c r="E101" s="32">
        <v>3</v>
      </c>
      <c r="F101" s="32">
        <v>12</v>
      </c>
      <c r="G101" s="32">
        <v>0</v>
      </c>
      <c r="H101" s="32">
        <v>14</v>
      </c>
      <c r="I101" s="32">
        <v>5</v>
      </c>
      <c r="J101" s="32">
        <v>7</v>
      </c>
      <c r="K101" s="32">
        <v>8</v>
      </c>
      <c r="L101" s="32">
        <v>9</v>
      </c>
      <c r="M101" s="32">
        <v>2</v>
      </c>
      <c r="N101" s="32">
        <v>20</v>
      </c>
      <c r="O101" s="32">
        <v>9</v>
      </c>
      <c r="P101" s="32">
        <v>2</v>
      </c>
      <c r="Q101" s="32">
        <v>12</v>
      </c>
      <c r="R101" s="32">
        <v>6</v>
      </c>
      <c r="S101" s="32">
        <v>3</v>
      </c>
      <c r="T101" s="32">
        <v>1</v>
      </c>
      <c r="U101" s="32">
        <v>26</v>
      </c>
      <c r="V101" s="32">
        <v>2</v>
      </c>
      <c r="W101" s="32">
        <v>0</v>
      </c>
      <c r="X101" s="32">
        <v>0</v>
      </c>
      <c r="Y101" s="32">
        <v>1</v>
      </c>
      <c r="Z101" s="32">
        <v>9</v>
      </c>
      <c r="AA101" s="32">
        <v>2</v>
      </c>
      <c r="AB101" s="32">
        <v>20</v>
      </c>
      <c r="AC101" s="32">
        <v>17</v>
      </c>
      <c r="AD101" s="32">
        <v>10</v>
      </c>
      <c r="AE101" s="32">
        <v>3</v>
      </c>
      <c r="AF101" s="32">
        <v>8</v>
      </c>
      <c r="AG101" s="32">
        <v>4</v>
      </c>
      <c r="AH101" s="32">
        <v>7</v>
      </c>
      <c r="AI101" s="32">
        <v>5</v>
      </c>
      <c r="AJ101" s="32">
        <v>7</v>
      </c>
      <c r="AK101" s="32">
        <v>3</v>
      </c>
      <c r="AL101" s="32">
        <v>6</v>
      </c>
      <c r="AM101" s="33"/>
      <c r="AN101" s="5">
        <f>SUM($C101:AM101)</f>
        <v>295</v>
      </c>
      <c r="AO101" t="str">
        <f>" 飛騨圏域（ n = "&amp;B101&amp;"）"</f>
        <v xml:space="preserve"> 飛騨圏域（ n = 106）</v>
      </c>
    </row>
    <row r="102" spans="1:43" x14ac:dyDescent="0.2">
      <c r="A102" s="270"/>
      <c r="B102" s="35">
        <f>'問9S（表）'!B64</f>
        <v>6.5594059405940595</v>
      </c>
      <c r="C102" s="20">
        <f t="shared" ref="C102:AL102" si="60">C101/$B$101*100</f>
        <v>33.018867924528301</v>
      </c>
      <c r="D102" s="207">
        <f t="shared" si="60"/>
        <v>16.037735849056602</v>
      </c>
      <c r="E102" s="207">
        <f t="shared" si="60"/>
        <v>2.8301886792452833</v>
      </c>
      <c r="F102" s="207">
        <f t="shared" si="60"/>
        <v>11.320754716981133</v>
      </c>
      <c r="G102" s="207">
        <f t="shared" si="60"/>
        <v>0</v>
      </c>
      <c r="H102" s="207">
        <f t="shared" si="60"/>
        <v>13.20754716981132</v>
      </c>
      <c r="I102" s="207">
        <f t="shared" si="60"/>
        <v>4.716981132075472</v>
      </c>
      <c r="J102" s="207">
        <f t="shared" si="60"/>
        <v>6.6037735849056602</v>
      </c>
      <c r="K102" s="207">
        <f t="shared" si="60"/>
        <v>7.5471698113207548</v>
      </c>
      <c r="L102" s="207">
        <f t="shared" si="60"/>
        <v>8.4905660377358494</v>
      </c>
      <c r="M102" s="207">
        <f t="shared" si="60"/>
        <v>1.8867924528301887</v>
      </c>
      <c r="N102" s="207">
        <f t="shared" si="60"/>
        <v>18.867924528301888</v>
      </c>
      <c r="O102" s="207">
        <f t="shared" si="60"/>
        <v>8.4905660377358494</v>
      </c>
      <c r="P102" s="207">
        <f t="shared" si="60"/>
        <v>1.8867924528301887</v>
      </c>
      <c r="Q102" s="207">
        <f t="shared" si="60"/>
        <v>11.320754716981133</v>
      </c>
      <c r="R102" s="207">
        <f t="shared" si="60"/>
        <v>5.6603773584905666</v>
      </c>
      <c r="S102" s="207">
        <f t="shared" si="60"/>
        <v>2.8301886792452833</v>
      </c>
      <c r="T102" s="207">
        <f t="shared" si="60"/>
        <v>0.94339622641509435</v>
      </c>
      <c r="U102" s="207">
        <f t="shared" si="60"/>
        <v>24.528301886792452</v>
      </c>
      <c r="V102" s="207">
        <f t="shared" si="60"/>
        <v>1.8867924528301887</v>
      </c>
      <c r="W102" s="207">
        <f t="shared" si="60"/>
        <v>0</v>
      </c>
      <c r="X102" s="207">
        <f t="shared" si="60"/>
        <v>0</v>
      </c>
      <c r="Y102" s="207">
        <f t="shared" si="60"/>
        <v>0.94339622641509435</v>
      </c>
      <c r="Z102" s="207">
        <f t="shared" si="60"/>
        <v>8.4905660377358494</v>
      </c>
      <c r="AA102" s="207">
        <f t="shared" si="60"/>
        <v>1.8867924528301887</v>
      </c>
      <c r="AB102" s="207">
        <f t="shared" si="60"/>
        <v>18.867924528301888</v>
      </c>
      <c r="AC102" s="207">
        <f t="shared" si="60"/>
        <v>16.037735849056602</v>
      </c>
      <c r="AD102" s="207">
        <f t="shared" si="60"/>
        <v>9.433962264150944</v>
      </c>
      <c r="AE102" s="207">
        <f t="shared" si="60"/>
        <v>2.8301886792452833</v>
      </c>
      <c r="AF102" s="207">
        <f t="shared" si="60"/>
        <v>7.5471698113207548</v>
      </c>
      <c r="AG102" s="207">
        <f t="shared" si="60"/>
        <v>3.7735849056603774</v>
      </c>
      <c r="AH102" s="207">
        <f t="shared" si="60"/>
        <v>6.6037735849056602</v>
      </c>
      <c r="AI102" s="207">
        <f t="shared" si="60"/>
        <v>4.716981132075472</v>
      </c>
      <c r="AJ102" s="207">
        <f t="shared" si="60"/>
        <v>6.6037735849056602</v>
      </c>
      <c r="AK102" s="207">
        <f t="shared" si="60"/>
        <v>2.8301886792452833</v>
      </c>
      <c r="AL102" s="207">
        <f t="shared" si="60"/>
        <v>5.6603773584905666</v>
      </c>
      <c r="AM102" s="208"/>
      <c r="AN102" s="237"/>
    </row>
    <row r="103" spans="1:43" s="186" customFormat="1" x14ac:dyDescent="0.2">
      <c r="A103" s="184"/>
      <c r="B103" s="182"/>
      <c r="C103" s="182">
        <f t="shared" ref="C103:AL103" si="61">_xlfn.RANK.EQ(C92,$C$92:$AL$92,0)</f>
        <v>1</v>
      </c>
      <c r="D103" s="182">
        <f t="shared" si="61"/>
        <v>8</v>
      </c>
      <c r="E103" s="182">
        <f t="shared" si="61"/>
        <v>25</v>
      </c>
      <c r="F103" s="182">
        <f t="shared" si="61"/>
        <v>9</v>
      </c>
      <c r="G103" s="182">
        <f t="shared" si="61"/>
        <v>31</v>
      </c>
      <c r="H103" s="182">
        <f t="shared" si="61"/>
        <v>6</v>
      </c>
      <c r="I103" s="182">
        <f t="shared" si="61"/>
        <v>14</v>
      </c>
      <c r="J103" s="182">
        <f t="shared" si="61"/>
        <v>4</v>
      </c>
      <c r="K103" s="182">
        <f t="shared" si="61"/>
        <v>11</v>
      </c>
      <c r="L103" s="182">
        <f t="shared" si="61"/>
        <v>17</v>
      </c>
      <c r="M103" s="182">
        <f t="shared" si="61"/>
        <v>32</v>
      </c>
      <c r="N103" s="182">
        <f t="shared" si="61"/>
        <v>3</v>
      </c>
      <c r="O103" s="182">
        <f t="shared" si="61"/>
        <v>16</v>
      </c>
      <c r="P103" s="182">
        <f t="shared" si="61"/>
        <v>28</v>
      </c>
      <c r="Q103" s="182">
        <f t="shared" si="61"/>
        <v>5</v>
      </c>
      <c r="R103" s="182">
        <f t="shared" si="61"/>
        <v>22</v>
      </c>
      <c r="S103" s="182">
        <f t="shared" si="61"/>
        <v>26</v>
      </c>
      <c r="T103" s="182">
        <f t="shared" si="61"/>
        <v>29</v>
      </c>
      <c r="U103" s="182">
        <f t="shared" si="61"/>
        <v>10</v>
      </c>
      <c r="V103" s="182">
        <f t="shared" si="61"/>
        <v>27</v>
      </c>
      <c r="W103" s="182">
        <f t="shared" si="61"/>
        <v>35</v>
      </c>
      <c r="X103" s="182">
        <f t="shared" si="61"/>
        <v>36</v>
      </c>
      <c r="Y103" s="182">
        <f t="shared" si="61"/>
        <v>32</v>
      </c>
      <c r="Z103" s="182">
        <f t="shared" si="61"/>
        <v>20</v>
      </c>
      <c r="AA103" s="182">
        <f t="shared" si="61"/>
        <v>34</v>
      </c>
      <c r="AB103" s="182">
        <f t="shared" si="61"/>
        <v>2</v>
      </c>
      <c r="AC103" s="182">
        <f t="shared" si="61"/>
        <v>7</v>
      </c>
      <c r="AD103" s="182">
        <f t="shared" si="61"/>
        <v>21</v>
      </c>
      <c r="AE103" s="182">
        <f t="shared" si="61"/>
        <v>19</v>
      </c>
      <c r="AF103" s="182">
        <f t="shared" si="61"/>
        <v>12</v>
      </c>
      <c r="AG103" s="182">
        <f t="shared" si="61"/>
        <v>13</v>
      </c>
      <c r="AH103" s="182">
        <f t="shared" si="61"/>
        <v>23</v>
      </c>
      <c r="AI103" s="182">
        <f t="shared" si="61"/>
        <v>18</v>
      </c>
      <c r="AJ103" s="182">
        <f t="shared" si="61"/>
        <v>15</v>
      </c>
      <c r="AK103" s="182">
        <f t="shared" si="61"/>
        <v>30</v>
      </c>
      <c r="AL103" s="182">
        <f t="shared" si="61"/>
        <v>24</v>
      </c>
      <c r="AM103" s="182"/>
      <c r="AN103" s="182">
        <f>SUM(C103:AM103)</f>
        <v>665</v>
      </c>
      <c r="AQ103"/>
    </row>
    <row r="104" spans="1:43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5"/>
      <c r="AN104" s="195"/>
    </row>
    <row r="105" spans="1:43" x14ac:dyDescent="0.2">
      <c r="A105" s="6" t="s">
        <v>4</v>
      </c>
      <c r="B105" s="1"/>
      <c r="C105" s="238">
        <v>1</v>
      </c>
      <c r="D105" s="238">
        <v>2</v>
      </c>
      <c r="E105" s="238">
        <v>3</v>
      </c>
      <c r="F105" s="238">
        <v>4</v>
      </c>
      <c r="G105" s="238">
        <v>4</v>
      </c>
      <c r="H105" s="238">
        <v>6</v>
      </c>
      <c r="I105" s="238">
        <v>7</v>
      </c>
      <c r="J105" s="238">
        <v>8</v>
      </c>
      <c r="K105" s="238">
        <v>9</v>
      </c>
      <c r="L105" s="238">
        <v>10</v>
      </c>
      <c r="M105" s="238">
        <v>11</v>
      </c>
      <c r="N105" s="238">
        <v>12</v>
      </c>
      <c r="O105" s="238">
        <v>13</v>
      </c>
      <c r="P105" s="238">
        <v>14</v>
      </c>
      <c r="Q105" s="238">
        <v>15</v>
      </c>
      <c r="R105" s="238">
        <v>16</v>
      </c>
      <c r="S105" s="238">
        <v>16</v>
      </c>
      <c r="T105" s="238">
        <v>18</v>
      </c>
      <c r="U105" s="238">
        <v>19</v>
      </c>
      <c r="V105" s="238">
        <v>19</v>
      </c>
      <c r="W105" s="238">
        <v>21</v>
      </c>
      <c r="X105" s="238">
        <v>22</v>
      </c>
      <c r="Y105" s="238">
        <v>23</v>
      </c>
      <c r="Z105" s="238">
        <v>24</v>
      </c>
      <c r="AA105" s="238">
        <v>25</v>
      </c>
      <c r="AB105" s="238">
        <v>26</v>
      </c>
      <c r="AC105" s="238">
        <v>27</v>
      </c>
      <c r="AD105" s="238">
        <v>28</v>
      </c>
      <c r="AE105" s="238">
        <v>29</v>
      </c>
      <c r="AF105" s="238">
        <v>30</v>
      </c>
      <c r="AG105" s="238">
        <v>31</v>
      </c>
      <c r="AH105" s="238">
        <v>31</v>
      </c>
      <c r="AI105" s="238">
        <v>33</v>
      </c>
      <c r="AJ105" s="238">
        <v>34</v>
      </c>
      <c r="AK105" s="238">
        <v>35</v>
      </c>
      <c r="AL105" s="238">
        <v>36</v>
      </c>
      <c r="AM105" s="197">
        <v>37</v>
      </c>
    </row>
    <row r="106" spans="1:43" ht="64.8" x14ac:dyDescent="0.2">
      <c r="A106" s="13" t="s">
        <v>27</v>
      </c>
      <c r="B106" s="59" t="s">
        <v>157</v>
      </c>
      <c r="C106" s="60" t="s">
        <v>369</v>
      </c>
      <c r="D106" s="61" t="s">
        <v>368</v>
      </c>
      <c r="E106" s="61" t="s">
        <v>367</v>
      </c>
      <c r="F106" s="61" t="s">
        <v>366</v>
      </c>
      <c r="G106" s="61" t="s">
        <v>365</v>
      </c>
      <c r="H106" s="61" t="s">
        <v>364</v>
      </c>
      <c r="I106" s="61" t="s">
        <v>363</v>
      </c>
      <c r="J106" s="61" t="s">
        <v>362</v>
      </c>
      <c r="K106" s="61" t="s">
        <v>361</v>
      </c>
      <c r="L106" s="61" t="s">
        <v>360</v>
      </c>
      <c r="M106" s="61" t="s">
        <v>359</v>
      </c>
      <c r="N106" s="61" t="s">
        <v>358</v>
      </c>
      <c r="O106" s="61" t="s">
        <v>357</v>
      </c>
      <c r="P106" s="61" t="s">
        <v>356</v>
      </c>
      <c r="Q106" s="61" t="s">
        <v>355</v>
      </c>
      <c r="R106" s="61" t="s">
        <v>354</v>
      </c>
      <c r="S106" s="61" t="s">
        <v>353</v>
      </c>
      <c r="T106" s="61" t="s">
        <v>352</v>
      </c>
      <c r="U106" s="61" t="s">
        <v>351</v>
      </c>
      <c r="V106" s="61" t="s">
        <v>350</v>
      </c>
      <c r="W106" s="61" t="s">
        <v>349</v>
      </c>
      <c r="X106" s="61" t="s">
        <v>348</v>
      </c>
      <c r="Y106" s="61" t="s">
        <v>347</v>
      </c>
      <c r="Z106" s="61" t="s">
        <v>346</v>
      </c>
      <c r="AA106" s="61" t="s">
        <v>345</v>
      </c>
      <c r="AB106" s="61" t="s">
        <v>344</v>
      </c>
      <c r="AC106" s="61" t="s">
        <v>343</v>
      </c>
      <c r="AD106" s="61" t="s">
        <v>342</v>
      </c>
      <c r="AE106" s="61" t="s">
        <v>341</v>
      </c>
      <c r="AF106" s="61" t="s">
        <v>340</v>
      </c>
      <c r="AG106" s="61" t="s">
        <v>339</v>
      </c>
      <c r="AH106" s="61" t="s">
        <v>338</v>
      </c>
      <c r="AI106" s="61" t="s">
        <v>337</v>
      </c>
      <c r="AJ106" s="61" t="s">
        <v>336</v>
      </c>
      <c r="AK106" s="61" t="s">
        <v>335</v>
      </c>
      <c r="AL106" s="61" t="s">
        <v>334</v>
      </c>
      <c r="AM106" s="63"/>
      <c r="AN106" s="5" t="s">
        <v>118</v>
      </c>
    </row>
    <row r="107" spans="1:43" x14ac:dyDescent="0.2">
      <c r="A107" s="269" t="str">
        <f>A91</f>
        <v>全体(n = 1,616 )　　</v>
      </c>
      <c r="B107" s="224" t="str">
        <f>B91</f>
        <v>1,616</v>
      </c>
      <c r="C107" s="121">
        <v>453</v>
      </c>
      <c r="D107" s="122">
        <v>296</v>
      </c>
      <c r="E107" s="122">
        <v>287</v>
      </c>
      <c r="F107" s="122">
        <v>284</v>
      </c>
      <c r="G107" s="122">
        <v>248</v>
      </c>
      <c r="H107" s="122">
        <v>237</v>
      </c>
      <c r="I107" s="122">
        <v>213</v>
      </c>
      <c r="J107" s="122">
        <v>203</v>
      </c>
      <c r="K107" s="122">
        <v>194</v>
      </c>
      <c r="L107" s="122">
        <v>180</v>
      </c>
      <c r="M107" s="122">
        <v>178</v>
      </c>
      <c r="N107" s="122">
        <v>136</v>
      </c>
      <c r="O107" s="122">
        <v>134</v>
      </c>
      <c r="P107" s="122">
        <v>127</v>
      </c>
      <c r="Q107" s="122">
        <v>123</v>
      </c>
      <c r="R107" s="122">
        <v>100</v>
      </c>
      <c r="S107" s="122">
        <v>97</v>
      </c>
      <c r="T107" s="122">
        <v>94</v>
      </c>
      <c r="U107" s="122">
        <v>91</v>
      </c>
      <c r="V107" s="122">
        <v>76</v>
      </c>
      <c r="W107" s="122">
        <v>75</v>
      </c>
      <c r="X107" s="122">
        <v>71</v>
      </c>
      <c r="Y107" s="122">
        <v>64</v>
      </c>
      <c r="Z107" s="122">
        <v>57</v>
      </c>
      <c r="AA107" s="122">
        <v>55</v>
      </c>
      <c r="AB107" s="122">
        <v>48</v>
      </c>
      <c r="AC107" s="122">
        <v>38</v>
      </c>
      <c r="AD107" s="122">
        <v>37</v>
      </c>
      <c r="AE107" s="122">
        <v>35</v>
      </c>
      <c r="AF107" s="122">
        <v>30</v>
      </c>
      <c r="AG107" s="122">
        <v>29</v>
      </c>
      <c r="AH107" s="122">
        <v>23</v>
      </c>
      <c r="AI107" s="122">
        <v>23</v>
      </c>
      <c r="AJ107" s="122">
        <v>21</v>
      </c>
      <c r="AK107" s="122">
        <v>18</v>
      </c>
      <c r="AL107" s="122">
        <v>12</v>
      </c>
      <c r="AM107" s="124"/>
      <c r="AN107" s="5">
        <f>SUM(C107:AM107)</f>
        <v>4387</v>
      </c>
    </row>
    <row r="108" spans="1:43" x14ac:dyDescent="0.2">
      <c r="A108" s="270"/>
      <c r="B108" s="114">
        <f t="shared" ref="B108:B118" si="62">B92</f>
        <v>100</v>
      </c>
      <c r="C108" s="125">
        <v>28.032178217821784</v>
      </c>
      <c r="D108" s="126">
        <v>18.316831683168317</v>
      </c>
      <c r="E108" s="126">
        <v>17.759900990099009</v>
      </c>
      <c r="F108" s="126">
        <v>17.574257425742573</v>
      </c>
      <c r="G108" s="126">
        <v>15.346534653465346</v>
      </c>
      <c r="H108" s="126">
        <v>14.665841584158414</v>
      </c>
      <c r="I108" s="126">
        <v>13.180693069306932</v>
      </c>
      <c r="J108" s="126">
        <v>12.561881188118813</v>
      </c>
      <c r="K108" s="126">
        <v>12.004950495049505</v>
      </c>
      <c r="L108" s="126">
        <v>11.138613861386139</v>
      </c>
      <c r="M108" s="126">
        <v>11.014851485148515</v>
      </c>
      <c r="N108" s="126">
        <v>8.4158415841584162</v>
      </c>
      <c r="O108" s="126">
        <v>8.2920792079207928</v>
      </c>
      <c r="P108" s="126">
        <v>7.858910891089109</v>
      </c>
      <c r="Q108" s="126">
        <v>7.6113861386138613</v>
      </c>
      <c r="R108" s="126">
        <v>6.1881188118811883</v>
      </c>
      <c r="S108" s="126">
        <v>6.0024752475247523</v>
      </c>
      <c r="T108" s="126">
        <v>5.8168316831683171</v>
      </c>
      <c r="U108" s="126">
        <v>5.6311881188118811</v>
      </c>
      <c r="V108" s="126">
        <v>4.7029702970297027</v>
      </c>
      <c r="W108" s="126">
        <v>4.641089108910891</v>
      </c>
      <c r="X108" s="126">
        <v>4.3935643564356432</v>
      </c>
      <c r="Y108" s="126">
        <v>3.9603960396039604</v>
      </c>
      <c r="Z108" s="126">
        <v>3.527227722772277</v>
      </c>
      <c r="AA108" s="126">
        <v>3.4034653465346536</v>
      </c>
      <c r="AB108" s="126">
        <v>2.9702970297029703</v>
      </c>
      <c r="AC108" s="126">
        <v>2.3514851485148514</v>
      </c>
      <c r="AD108" s="126">
        <v>2.2896039603960396</v>
      </c>
      <c r="AE108" s="126">
        <v>2.1658415841584158</v>
      </c>
      <c r="AF108" s="126">
        <v>1.8564356435643563</v>
      </c>
      <c r="AG108" s="126">
        <v>1.7945544554455444</v>
      </c>
      <c r="AH108" s="126">
        <v>1.4232673267326734</v>
      </c>
      <c r="AI108" s="126">
        <v>1.4232673267326734</v>
      </c>
      <c r="AJ108" s="126">
        <v>1.2995049504950495</v>
      </c>
      <c r="AK108" s="126">
        <v>1.1138613861386137</v>
      </c>
      <c r="AL108" s="126">
        <v>0.74257425742574257</v>
      </c>
      <c r="AM108" s="128"/>
      <c r="AN108" s="195"/>
    </row>
    <row r="109" spans="1:43" x14ac:dyDescent="0.2">
      <c r="A109" s="269" t="str">
        <f>A93</f>
        <v>岐阜圏域(n = 617 )　　</v>
      </c>
      <c r="B109" s="113">
        <f t="shared" si="62"/>
        <v>617</v>
      </c>
      <c r="C109" s="129">
        <v>163</v>
      </c>
      <c r="D109" s="130">
        <v>99</v>
      </c>
      <c r="E109" s="130">
        <v>100</v>
      </c>
      <c r="F109" s="130">
        <v>116</v>
      </c>
      <c r="G109" s="130">
        <v>99</v>
      </c>
      <c r="H109" s="130">
        <v>86</v>
      </c>
      <c r="I109" s="130">
        <v>82</v>
      </c>
      <c r="J109" s="130">
        <v>66</v>
      </c>
      <c r="K109" s="130">
        <v>77</v>
      </c>
      <c r="L109" s="130">
        <v>54</v>
      </c>
      <c r="M109" s="130">
        <v>71</v>
      </c>
      <c r="N109" s="130">
        <v>79</v>
      </c>
      <c r="O109" s="130">
        <v>58</v>
      </c>
      <c r="P109" s="130">
        <v>57</v>
      </c>
      <c r="Q109" s="130">
        <v>43</v>
      </c>
      <c r="R109" s="130">
        <v>36</v>
      </c>
      <c r="S109" s="130">
        <v>29</v>
      </c>
      <c r="T109" s="130">
        <v>36</v>
      </c>
      <c r="U109" s="130">
        <v>48</v>
      </c>
      <c r="V109" s="130">
        <v>19</v>
      </c>
      <c r="W109" s="130">
        <v>16</v>
      </c>
      <c r="X109" s="130">
        <v>19</v>
      </c>
      <c r="Y109" s="130">
        <v>25</v>
      </c>
      <c r="Z109" s="130">
        <v>11</v>
      </c>
      <c r="AA109" s="130">
        <v>12</v>
      </c>
      <c r="AB109" s="130">
        <v>12</v>
      </c>
      <c r="AC109" s="130">
        <v>13</v>
      </c>
      <c r="AD109" s="130">
        <v>10</v>
      </c>
      <c r="AE109" s="130">
        <v>14</v>
      </c>
      <c r="AF109" s="130">
        <v>10</v>
      </c>
      <c r="AG109" s="130">
        <v>10</v>
      </c>
      <c r="AH109" s="130">
        <v>7</v>
      </c>
      <c r="AI109" s="130">
        <v>9</v>
      </c>
      <c r="AJ109" s="130">
        <v>2</v>
      </c>
      <c r="AK109" s="130">
        <v>6</v>
      </c>
      <c r="AL109" s="130">
        <v>5</v>
      </c>
      <c r="AM109" s="131"/>
      <c r="AN109" s="5">
        <f>SUM(C109:AM109)</f>
        <v>1599</v>
      </c>
    </row>
    <row r="110" spans="1:43" x14ac:dyDescent="0.2">
      <c r="A110" s="270"/>
      <c r="B110" s="114">
        <f t="shared" si="62"/>
        <v>38.180693069306933</v>
      </c>
      <c r="C110" s="125">
        <v>26.418152350081037</v>
      </c>
      <c r="D110" s="126">
        <v>16.045380875202593</v>
      </c>
      <c r="E110" s="126">
        <v>16.207455429497568</v>
      </c>
      <c r="F110" s="126">
        <v>18.80064829821718</v>
      </c>
      <c r="G110" s="126">
        <v>16.045380875202593</v>
      </c>
      <c r="H110" s="126">
        <v>13.938411669367909</v>
      </c>
      <c r="I110" s="126">
        <v>13.290113452188008</v>
      </c>
      <c r="J110" s="126">
        <v>10.696920583468396</v>
      </c>
      <c r="K110" s="126">
        <v>12.479740680713128</v>
      </c>
      <c r="L110" s="126">
        <v>8.7520259319286886</v>
      </c>
      <c r="M110" s="126">
        <v>11.507293354943274</v>
      </c>
      <c r="N110" s="126">
        <v>12.80388978930308</v>
      </c>
      <c r="O110" s="126">
        <v>9.4003241491085898</v>
      </c>
      <c r="P110" s="126">
        <v>9.238249594813615</v>
      </c>
      <c r="Q110" s="126">
        <v>6.9692058346839545</v>
      </c>
      <c r="R110" s="126">
        <v>5.8346839546191251</v>
      </c>
      <c r="S110" s="126">
        <v>4.7001620745542949</v>
      </c>
      <c r="T110" s="126">
        <v>5.8346839546191251</v>
      </c>
      <c r="U110" s="126">
        <v>7.7795786061588341</v>
      </c>
      <c r="V110" s="126">
        <v>3.0794165316045379</v>
      </c>
      <c r="W110" s="126">
        <v>2.5931928687196111</v>
      </c>
      <c r="X110" s="126">
        <v>3.0794165316045379</v>
      </c>
      <c r="Y110" s="126">
        <v>4.0518638573743919</v>
      </c>
      <c r="Z110" s="126">
        <v>1.7828200972447326</v>
      </c>
      <c r="AA110" s="126">
        <v>1.9448946515397085</v>
      </c>
      <c r="AB110" s="126">
        <v>1.9448946515397085</v>
      </c>
      <c r="AC110" s="126">
        <v>2.1069692058346838</v>
      </c>
      <c r="AD110" s="126">
        <v>1.6207455429497568</v>
      </c>
      <c r="AE110" s="126">
        <v>2.2690437601296596</v>
      </c>
      <c r="AF110" s="126">
        <v>1.6207455429497568</v>
      </c>
      <c r="AG110" s="126">
        <v>1.6207455429497568</v>
      </c>
      <c r="AH110" s="126">
        <v>1.1345218800648298</v>
      </c>
      <c r="AI110" s="126">
        <v>1.4586709886547813</v>
      </c>
      <c r="AJ110" s="126">
        <v>0.32414910858995138</v>
      </c>
      <c r="AK110" s="126">
        <v>0.97244732576985426</v>
      </c>
      <c r="AL110" s="126">
        <v>0.81037277147487841</v>
      </c>
      <c r="AM110" s="128"/>
      <c r="AN110" s="195"/>
    </row>
    <row r="111" spans="1:43" ht="13.5" customHeight="1" x14ac:dyDescent="0.2">
      <c r="A111" s="269" t="str">
        <f>A95</f>
        <v>西濃圏域(n = 290 )　　</v>
      </c>
      <c r="B111" s="113">
        <f t="shared" si="62"/>
        <v>290</v>
      </c>
      <c r="C111" s="129">
        <v>91</v>
      </c>
      <c r="D111" s="130">
        <v>60</v>
      </c>
      <c r="E111" s="130">
        <v>62</v>
      </c>
      <c r="F111" s="130">
        <v>60</v>
      </c>
      <c r="G111" s="130">
        <v>66</v>
      </c>
      <c r="H111" s="130">
        <v>42</v>
      </c>
      <c r="I111" s="130">
        <v>54</v>
      </c>
      <c r="J111" s="130">
        <v>41</v>
      </c>
      <c r="K111" s="130">
        <v>36</v>
      </c>
      <c r="L111" s="130">
        <v>27</v>
      </c>
      <c r="M111" s="130">
        <v>32</v>
      </c>
      <c r="N111" s="130">
        <v>18</v>
      </c>
      <c r="O111" s="130">
        <v>30</v>
      </c>
      <c r="P111" s="130">
        <v>18</v>
      </c>
      <c r="Q111" s="130">
        <v>25</v>
      </c>
      <c r="R111" s="130">
        <v>17</v>
      </c>
      <c r="S111" s="130">
        <v>16</v>
      </c>
      <c r="T111" s="130">
        <v>19</v>
      </c>
      <c r="U111" s="130">
        <v>18</v>
      </c>
      <c r="V111" s="130">
        <v>18</v>
      </c>
      <c r="W111" s="130">
        <v>17</v>
      </c>
      <c r="X111" s="130">
        <v>14</v>
      </c>
      <c r="Y111" s="130">
        <v>12</v>
      </c>
      <c r="Z111" s="130">
        <v>7</v>
      </c>
      <c r="AA111" s="130">
        <v>16</v>
      </c>
      <c r="AB111" s="130">
        <v>10</v>
      </c>
      <c r="AC111" s="130">
        <v>5</v>
      </c>
      <c r="AD111" s="130">
        <v>13</v>
      </c>
      <c r="AE111" s="130">
        <v>8</v>
      </c>
      <c r="AF111" s="130">
        <v>5</v>
      </c>
      <c r="AG111" s="130">
        <v>7</v>
      </c>
      <c r="AH111" s="130">
        <v>5</v>
      </c>
      <c r="AI111" s="130">
        <v>7</v>
      </c>
      <c r="AJ111" s="130">
        <v>5</v>
      </c>
      <c r="AK111" s="130">
        <v>5</v>
      </c>
      <c r="AL111" s="130">
        <v>1</v>
      </c>
      <c r="AM111" s="131"/>
      <c r="AN111" s="5">
        <f>SUM(C111:AM111)</f>
        <v>887</v>
      </c>
    </row>
    <row r="112" spans="1:43" x14ac:dyDescent="0.2">
      <c r="A112" s="270"/>
      <c r="B112" s="114">
        <f t="shared" si="62"/>
        <v>17.945544554455445</v>
      </c>
      <c r="C112" s="125">
        <v>31.379310344827587</v>
      </c>
      <c r="D112" s="126">
        <v>20.689655172413794</v>
      </c>
      <c r="E112" s="126">
        <v>21.379310344827587</v>
      </c>
      <c r="F112" s="126">
        <v>20.689655172413794</v>
      </c>
      <c r="G112" s="126">
        <v>22.758620689655174</v>
      </c>
      <c r="H112" s="126">
        <v>14.482758620689657</v>
      </c>
      <c r="I112" s="126">
        <v>18.620689655172416</v>
      </c>
      <c r="J112" s="126">
        <v>14.13793103448276</v>
      </c>
      <c r="K112" s="126">
        <v>12.413793103448276</v>
      </c>
      <c r="L112" s="126">
        <v>9.3103448275862082</v>
      </c>
      <c r="M112" s="126">
        <v>11.03448275862069</v>
      </c>
      <c r="N112" s="126">
        <v>6.2068965517241379</v>
      </c>
      <c r="O112" s="126">
        <v>10.344827586206897</v>
      </c>
      <c r="P112" s="126">
        <v>6.2068965517241379</v>
      </c>
      <c r="Q112" s="126">
        <v>8.6206896551724146</v>
      </c>
      <c r="R112" s="126">
        <v>5.8620689655172411</v>
      </c>
      <c r="S112" s="126">
        <v>5.5172413793103452</v>
      </c>
      <c r="T112" s="126">
        <v>6.5517241379310347</v>
      </c>
      <c r="U112" s="126">
        <v>6.2068965517241379</v>
      </c>
      <c r="V112" s="126">
        <v>6.2068965517241379</v>
      </c>
      <c r="W112" s="126">
        <v>5.8620689655172411</v>
      </c>
      <c r="X112" s="126">
        <v>4.8275862068965516</v>
      </c>
      <c r="Y112" s="126">
        <v>4.1379310344827589</v>
      </c>
      <c r="Z112" s="126">
        <v>2.4137931034482758</v>
      </c>
      <c r="AA112" s="126">
        <v>5.5172413793103452</v>
      </c>
      <c r="AB112" s="126">
        <v>3.4482758620689653</v>
      </c>
      <c r="AC112" s="126">
        <v>1.7241379310344827</v>
      </c>
      <c r="AD112" s="126">
        <v>4.4827586206896548</v>
      </c>
      <c r="AE112" s="126">
        <v>2.7586206896551726</v>
      </c>
      <c r="AF112" s="126">
        <v>1.7241379310344827</v>
      </c>
      <c r="AG112" s="126">
        <v>2.4137931034482758</v>
      </c>
      <c r="AH112" s="126">
        <v>1.7241379310344827</v>
      </c>
      <c r="AI112" s="126">
        <v>2.4137931034482758</v>
      </c>
      <c r="AJ112" s="126">
        <v>1.7241379310344827</v>
      </c>
      <c r="AK112" s="126">
        <v>1.7241379310344827</v>
      </c>
      <c r="AL112" s="126">
        <v>0.34482758620689657</v>
      </c>
      <c r="AM112" s="128"/>
      <c r="AN112" s="195"/>
    </row>
    <row r="113" spans="1:40" ht="13.5" customHeight="1" x14ac:dyDescent="0.2">
      <c r="A113" s="269" t="str">
        <f>A97</f>
        <v>中濃圏域(n = 300 )　　</v>
      </c>
      <c r="B113" s="113">
        <f t="shared" si="62"/>
        <v>300</v>
      </c>
      <c r="C113" s="129">
        <v>76</v>
      </c>
      <c r="D113" s="130">
        <v>65</v>
      </c>
      <c r="E113" s="130">
        <v>55</v>
      </c>
      <c r="F113" s="130">
        <v>64</v>
      </c>
      <c r="G113" s="130">
        <v>44</v>
      </c>
      <c r="H113" s="130">
        <v>52</v>
      </c>
      <c r="I113" s="130">
        <v>33</v>
      </c>
      <c r="J113" s="130">
        <v>46</v>
      </c>
      <c r="K113" s="130">
        <v>36</v>
      </c>
      <c r="L113" s="130">
        <v>37</v>
      </c>
      <c r="M113" s="130">
        <v>34</v>
      </c>
      <c r="N113" s="130">
        <v>16</v>
      </c>
      <c r="O113" s="130">
        <v>26</v>
      </c>
      <c r="P113" s="130">
        <v>24</v>
      </c>
      <c r="Q113" s="130">
        <v>25</v>
      </c>
      <c r="R113" s="130">
        <v>22</v>
      </c>
      <c r="S113" s="130">
        <v>21</v>
      </c>
      <c r="T113" s="130">
        <v>14</v>
      </c>
      <c r="U113" s="130">
        <v>12</v>
      </c>
      <c r="V113" s="130">
        <v>21</v>
      </c>
      <c r="W113" s="130">
        <v>13</v>
      </c>
      <c r="X113" s="130">
        <v>18</v>
      </c>
      <c r="Y113" s="130">
        <v>13</v>
      </c>
      <c r="Z113" s="130">
        <v>16</v>
      </c>
      <c r="AA113" s="130">
        <v>11</v>
      </c>
      <c r="AB113" s="130">
        <v>9</v>
      </c>
      <c r="AC113" s="130">
        <v>8</v>
      </c>
      <c r="AD113" s="130">
        <v>6</v>
      </c>
      <c r="AE113" s="130">
        <v>7</v>
      </c>
      <c r="AF113" s="130">
        <v>6</v>
      </c>
      <c r="AG113" s="130">
        <v>6</v>
      </c>
      <c r="AH113" s="130">
        <v>6</v>
      </c>
      <c r="AI113" s="130">
        <v>2</v>
      </c>
      <c r="AJ113" s="130">
        <v>6</v>
      </c>
      <c r="AK113" s="130">
        <v>3</v>
      </c>
      <c r="AL113" s="130">
        <v>3</v>
      </c>
      <c r="AM113" s="131"/>
      <c r="AN113" s="5">
        <f>SUM(C113:AM113)</f>
        <v>856</v>
      </c>
    </row>
    <row r="114" spans="1:40" x14ac:dyDescent="0.2">
      <c r="A114" s="270"/>
      <c r="B114" s="114">
        <f t="shared" si="62"/>
        <v>18.564356435643564</v>
      </c>
      <c r="C114" s="125">
        <v>25.333333333333336</v>
      </c>
      <c r="D114" s="126">
        <v>21.666666666666668</v>
      </c>
      <c r="E114" s="126">
        <v>18.333333333333332</v>
      </c>
      <c r="F114" s="126">
        <v>21.333333333333336</v>
      </c>
      <c r="G114" s="126">
        <v>14.666666666666666</v>
      </c>
      <c r="H114" s="126">
        <v>17.333333333333336</v>
      </c>
      <c r="I114" s="126">
        <v>11</v>
      </c>
      <c r="J114" s="126">
        <v>15.333333333333332</v>
      </c>
      <c r="K114" s="126">
        <v>12</v>
      </c>
      <c r="L114" s="126">
        <v>12.333333333333334</v>
      </c>
      <c r="M114" s="126">
        <v>11.333333333333332</v>
      </c>
      <c r="N114" s="126">
        <v>5.3333333333333339</v>
      </c>
      <c r="O114" s="126">
        <v>8.6666666666666679</v>
      </c>
      <c r="P114" s="126">
        <v>8</v>
      </c>
      <c r="Q114" s="126">
        <v>8.3333333333333321</v>
      </c>
      <c r="R114" s="126">
        <v>7.333333333333333</v>
      </c>
      <c r="S114" s="126">
        <v>7.0000000000000009</v>
      </c>
      <c r="T114" s="126">
        <v>4.666666666666667</v>
      </c>
      <c r="U114" s="126">
        <v>4</v>
      </c>
      <c r="V114" s="126">
        <v>7.0000000000000009</v>
      </c>
      <c r="W114" s="126">
        <v>4.3333333333333339</v>
      </c>
      <c r="X114" s="126">
        <v>6</v>
      </c>
      <c r="Y114" s="126">
        <v>4.3333333333333339</v>
      </c>
      <c r="Z114" s="126">
        <v>5.3333333333333339</v>
      </c>
      <c r="AA114" s="126">
        <v>3.6666666666666665</v>
      </c>
      <c r="AB114" s="126">
        <v>3</v>
      </c>
      <c r="AC114" s="126">
        <v>2.666666666666667</v>
      </c>
      <c r="AD114" s="126">
        <v>2</v>
      </c>
      <c r="AE114" s="126">
        <v>2.3333333333333335</v>
      </c>
      <c r="AF114" s="126">
        <v>2</v>
      </c>
      <c r="AG114" s="126">
        <v>2</v>
      </c>
      <c r="AH114" s="126">
        <v>2</v>
      </c>
      <c r="AI114" s="126">
        <v>0.66666666666666674</v>
      </c>
      <c r="AJ114" s="126">
        <v>2</v>
      </c>
      <c r="AK114" s="126">
        <v>1</v>
      </c>
      <c r="AL114" s="126">
        <v>1</v>
      </c>
      <c r="AM114" s="128"/>
      <c r="AN114" s="195"/>
    </row>
    <row r="115" spans="1:40" ht="13.5" customHeight="1" x14ac:dyDescent="0.2">
      <c r="A115" s="269" t="str">
        <f>A99</f>
        <v>東濃圏域(n = 271 )　　</v>
      </c>
      <c r="B115" s="113">
        <f t="shared" si="62"/>
        <v>271</v>
      </c>
      <c r="C115" s="129">
        <v>83</v>
      </c>
      <c r="D115" s="130">
        <v>47</v>
      </c>
      <c r="E115" s="130">
        <v>42</v>
      </c>
      <c r="F115" s="130">
        <v>32</v>
      </c>
      <c r="G115" s="130">
        <v>20</v>
      </c>
      <c r="H115" s="130">
        <v>40</v>
      </c>
      <c r="I115" s="130">
        <v>26</v>
      </c>
      <c r="J115" s="130">
        <v>30</v>
      </c>
      <c r="K115" s="130">
        <v>30</v>
      </c>
      <c r="L115" s="130">
        <v>36</v>
      </c>
      <c r="M115" s="130">
        <v>31</v>
      </c>
      <c r="N115" s="130">
        <v>14</v>
      </c>
      <c r="O115" s="130">
        <v>13</v>
      </c>
      <c r="P115" s="130">
        <v>21</v>
      </c>
      <c r="Q115" s="130">
        <v>20</v>
      </c>
      <c r="R115" s="130">
        <v>15</v>
      </c>
      <c r="S115" s="130">
        <v>18</v>
      </c>
      <c r="T115" s="130">
        <v>18</v>
      </c>
      <c r="U115" s="130">
        <v>9</v>
      </c>
      <c r="V115" s="130">
        <v>8</v>
      </c>
      <c r="W115" s="130">
        <v>19</v>
      </c>
      <c r="X115" s="130">
        <v>14</v>
      </c>
      <c r="Y115" s="130">
        <v>7</v>
      </c>
      <c r="Z115" s="130">
        <v>15</v>
      </c>
      <c r="AA115" s="130">
        <v>11</v>
      </c>
      <c r="AB115" s="130">
        <v>14</v>
      </c>
      <c r="AC115" s="130">
        <v>10</v>
      </c>
      <c r="AD115" s="130">
        <v>6</v>
      </c>
      <c r="AE115" s="130">
        <v>5</v>
      </c>
      <c r="AF115" s="130">
        <v>5</v>
      </c>
      <c r="AG115" s="130">
        <v>4</v>
      </c>
      <c r="AH115" s="130">
        <v>3</v>
      </c>
      <c r="AI115" s="130">
        <v>3</v>
      </c>
      <c r="AJ115" s="130">
        <v>6</v>
      </c>
      <c r="AK115" s="130">
        <v>3</v>
      </c>
      <c r="AL115" s="130">
        <v>3</v>
      </c>
      <c r="AM115" s="131"/>
      <c r="AN115" s="5">
        <f>SUM(C115:AM115)</f>
        <v>681</v>
      </c>
    </row>
    <row r="116" spans="1:40" x14ac:dyDescent="0.2">
      <c r="A116" s="270"/>
      <c r="B116" s="114">
        <f t="shared" si="62"/>
        <v>16.769801980198022</v>
      </c>
      <c r="C116" s="125">
        <v>30.627306273062732</v>
      </c>
      <c r="D116" s="126">
        <v>17.343173431734318</v>
      </c>
      <c r="E116" s="126">
        <v>15.498154981549817</v>
      </c>
      <c r="F116" s="126">
        <v>11.808118081180812</v>
      </c>
      <c r="G116" s="126">
        <v>7.3800738007380069</v>
      </c>
      <c r="H116" s="126">
        <v>14.760147601476014</v>
      </c>
      <c r="I116" s="126">
        <v>9.5940959409594093</v>
      </c>
      <c r="J116" s="126">
        <v>11.07011070110701</v>
      </c>
      <c r="K116" s="126">
        <v>11.07011070110701</v>
      </c>
      <c r="L116" s="126">
        <v>13.284132841328415</v>
      </c>
      <c r="M116" s="126">
        <v>11.439114391143912</v>
      </c>
      <c r="N116" s="126">
        <v>5.1660516605166054</v>
      </c>
      <c r="O116" s="126">
        <v>4.7970479704797047</v>
      </c>
      <c r="P116" s="126">
        <v>7.7490774907749085</v>
      </c>
      <c r="Q116" s="126">
        <v>7.3800738007380069</v>
      </c>
      <c r="R116" s="126">
        <v>5.5350553505535052</v>
      </c>
      <c r="S116" s="126">
        <v>6.6420664206642073</v>
      </c>
      <c r="T116" s="126">
        <v>6.6420664206642073</v>
      </c>
      <c r="U116" s="126">
        <v>3.3210332103321036</v>
      </c>
      <c r="V116" s="126">
        <v>2.9520295202952029</v>
      </c>
      <c r="W116" s="126">
        <v>7.0110701107011062</v>
      </c>
      <c r="X116" s="126">
        <v>5.1660516605166054</v>
      </c>
      <c r="Y116" s="126">
        <v>2.5830258302583027</v>
      </c>
      <c r="Z116" s="126">
        <v>5.5350553505535052</v>
      </c>
      <c r="AA116" s="126">
        <v>4.0590405904059041</v>
      </c>
      <c r="AB116" s="126">
        <v>5.1660516605166054</v>
      </c>
      <c r="AC116" s="126">
        <v>3.6900369003690034</v>
      </c>
      <c r="AD116" s="126">
        <v>2.214022140221402</v>
      </c>
      <c r="AE116" s="126">
        <v>1.8450184501845017</v>
      </c>
      <c r="AF116" s="126">
        <v>1.8450184501845017</v>
      </c>
      <c r="AG116" s="126">
        <v>1.4760147601476015</v>
      </c>
      <c r="AH116" s="126">
        <v>1.107011070110701</v>
      </c>
      <c r="AI116" s="126">
        <v>1.107011070110701</v>
      </c>
      <c r="AJ116" s="126">
        <v>2.214022140221402</v>
      </c>
      <c r="AK116" s="126">
        <v>1.107011070110701</v>
      </c>
      <c r="AL116" s="126">
        <v>1.107011070110701</v>
      </c>
      <c r="AM116" s="128"/>
      <c r="AN116" s="195"/>
    </row>
    <row r="117" spans="1:40" ht="13.5" customHeight="1" x14ac:dyDescent="0.2">
      <c r="A117" s="269" t="str">
        <f>A101</f>
        <v>飛騨圏域(n = 106 )　　</v>
      </c>
      <c r="B117" s="113">
        <f t="shared" si="62"/>
        <v>106</v>
      </c>
      <c r="C117" s="129">
        <v>35</v>
      </c>
      <c r="D117" s="130">
        <v>20</v>
      </c>
      <c r="E117" s="130">
        <v>20</v>
      </c>
      <c r="F117" s="130">
        <v>7</v>
      </c>
      <c r="G117" s="130">
        <v>12</v>
      </c>
      <c r="H117" s="130">
        <v>14</v>
      </c>
      <c r="I117" s="130">
        <v>17</v>
      </c>
      <c r="J117" s="130">
        <v>17</v>
      </c>
      <c r="K117" s="130">
        <v>12</v>
      </c>
      <c r="L117" s="130">
        <v>26</v>
      </c>
      <c r="M117" s="130">
        <v>8</v>
      </c>
      <c r="N117" s="130">
        <v>8</v>
      </c>
      <c r="O117" s="130">
        <v>4</v>
      </c>
      <c r="P117" s="130">
        <v>5</v>
      </c>
      <c r="Q117" s="130">
        <v>7</v>
      </c>
      <c r="R117" s="130">
        <v>9</v>
      </c>
      <c r="S117" s="130">
        <v>9</v>
      </c>
      <c r="T117" s="130">
        <v>5</v>
      </c>
      <c r="U117" s="130">
        <v>3</v>
      </c>
      <c r="V117" s="130">
        <v>9</v>
      </c>
      <c r="W117" s="130">
        <v>10</v>
      </c>
      <c r="X117" s="130">
        <v>6</v>
      </c>
      <c r="Y117" s="130">
        <v>7</v>
      </c>
      <c r="Z117" s="130">
        <v>6</v>
      </c>
      <c r="AA117" s="130">
        <v>3</v>
      </c>
      <c r="AB117" s="130">
        <v>3</v>
      </c>
      <c r="AC117" s="130">
        <v>2</v>
      </c>
      <c r="AD117" s="130">
        <v>2</v>
      </c>
      <c r="AE117" s="130">
        <v>1</v>
      </c>
      <c r="AF117" s="130">
        <v>3</v>
      </c>
      <c r="AG117" s="130">
        <v>0</v>
      </c>
      <c r="AH117" s="130">
        <v>2</v>
      </c>
      <c r="AI117" s="130">
        <v>1</v>
      </c>
      <c r="AJ117" s="130">
        <v>2</v>
      </c>
      <c r="AK117" s="130">
        <v>0</v>
      </c>
      <c r="AL117" s="130">
        <v>0</v>
      </c>
      <c r="AM117" s="131"/>
      <c r="AN117" s="5">
        <f>SUM(C117:AM117)</f>
        <v>295</v>
      </c>
    </row>
    <row r="118" spans="1:40" x14ac:dyDescent="0.2">
      <c r="A118" s="270"/>
      <c r="B118" s="114">
        <f t="shared" si="62"/>
        <v>6.5594059405940595</v>
      </c>
      <c r="C118" s="125">
        <v>33.018867924528301</v>
      </c>
      <c r="D118" s="126">
        <v>18.867924528301888</v>
      </c>
      <c r="E118" s="126">
        <v>18.867924528301888</v>
      </c>
      <c r="F118" s="126">
        <v>6.6037735849056602</v>
      </c>
      <c r="G118" s="126">
        <v>11.320754716981133</v>
      </c>
      <c r="H118" s="126">
        <v>13.20754716981132</v>
      </c>
      <c r="I118" s="126">
        <v>16.037735849056602</v>
      </c>
      <c r="J118" s="126">
        <v>16.037735849056602</v>
      </c>
      <c r="K118" s="126">
        <v>11.320754716981133</v>
      </c>
      <c r="L118" s="126">
        <v>24.528301886792452</v>
      </c>
      <c r="M118" s="126">
        <v>7.5471698113207548</v>
      </c>
      <c r="N118" s="126">
        <v>7.5471698113207548</v>
      </c>
      <c r="O118" s="126">
        <v>3.7735849056603774</v>
      </c>
      <c r="P118" s="126">
        <v>4.716981132075472</v>
      </c>
      <c r="Q118" s="126">
        <v>6.6037735849056602</v>
      </c>
      <c r="R118" s="126">
        <v>8.4905660377358494</v>
      </c>
      <c r="S118" s="126">
        <v>8.4905660377358494</v>
      </c>
      <c r="T118" s="126">
        <v>4.716981132075472</v>
      </c>
      <c r="U118" s="126">
        <v>2.8301886792452833</v>
      </c>
      <c r="V118" s="126">
        <v>8.4905660377358494</v>
      </c>
      <c r="W118" s="126">
        <v>9.433962264150944</v>
      </c>
      <c r="X118" s="126">
        <v>5.6603773584905666</v>
      </c>
      <c r="Y118" s="126">
        <v>6.6037735849056602</v>
      </c>
      <c r="Z118" s="126">
        <v>5.6603773584905666</v>
      </c>
      <c r="AA118" s="126">
        <v>2.8301886792452833</v>
      </c>
      <c r="AB118" s="126">
        <v>2.8301886792452833</v>
      </c>
      <c r="AC118" s="126">
        <v>1.8867924528301887</v>
      </c>
      <c r="AD118" s="126">
        <v>1.8867924528301887</v>
      </c>
      <c r="AE118" s="126">
        <v>0.94339622641509435</v>
      </c>
      <c r="AF118" s="126">
        <v>2.8301886792452833</v>
      </c>
      <c r="AG118" s="126">
        <v>0</v>
      </c>
      <c r="AH118" s="126">
        <v>1.8867924528301887</v>
      </c>
      <c r="AI118" s="126">
        <v>0.94339622641509435</v>
      </c>
      <c r="AJ118" s="126">
        <v>1.8867924528301887</v>
      </c>
      <c r="AK118" s="126">
        <v>0</v>
      </c>
      <c r="AL118" s="126">
        <v>0</v>
      </c>
      <c r="AM118" s="128"/>
      <c r="AN118" s="237"/>
    </row>
    <row r="119" spans="1:40" x14ac:dyDescent="0.2">
      <c r="A119" s="184"/>
      <c r="B119" s="182"/>
      <c r="C119" s="182">
        <v>1</v>
      </c>
      <c r="D119" s="182">
        <v>2</v>
      </c>
      <c r="E119" s="182">
        <v>3</v>
      </c>
      <c r="F119" s="182">
        <v>4</v>
      </c>
      <c r="G119" s="182">
        <v>5</v>
      </c>
      <c r="H119" s="182">
        <v>6</v>
      </c>
      <c r="I119" s="182">
        <v>7</v>
      </c>
      <c r="J119" s="182">
        <v>8</v>
      </c>
      <c r="K119" s="182">
        <v>9</v>
      </c>
      <c r="L119" s="182">
        <v>10</v>
      </c>
      <c r="M119" s="182">
        <v>11</v>
      </c>
      <c r="N119" s="182">
        <v>12</v>
      </c>
      <c r="O119" s="182">
        <v>13</v>
      </c>
      <c r="P119" s="182">
        <v>14</v>
      </c>
      <c r="Q119" s="182">
        <v>15</v>
      </c>
      <c r="R119" s="182">
        <v>16</v>
      </c>
      <c r="S119" s="182">
        <v>17</v>
      </c>
      <c r="T119" s="182">
        <v>18</v>
      </c>
      <c r="U119" s="182">
        <v>19</v>
      </c>
      <c r="V119" s="182">
        <v>20</v>
      </c>
      <c r="W119" s="182">
        <v>21</v>
      </c>
      <c r="X119" s="182">
        <v>22</v>
      </c>
      <c r="Y119" s="182">
        <v>23</v>
      </c>
      <c r="Z119" s="182">
        <v>24</v>
      </c>
      <c r="AA119" s="182">
        <v>25</v>
      </c>
      <c r="AB119" s="182">
        <v>26</v>
      </c>
      <c r="AC119" s="182">
        <v>27</v>
      </c>
      <c r="AD119" s="182">
        <v>28</v>
      </c>
      <c r="AE119" s="182">
        <v>29</v>
      </c>
      <c r="AF119" s="182">
        <v>30</v>
      </c>
      <c r="AG119" s="182">
        <v>31</v>
      </c>
      <c r="AH119" s="182">
        <v>32</v>
      </c>
      <c r="AI119" s="182">
        <v>32</v>
      </c>
      <c r="AJ119" s="185">
        <v>34</v>
      </c>
      <c r="AK119" s="185">
        <v>35</v>
      </c>
      <c r="AL119" s="185">
        <v>36</v>
      </c>
      <c r="AM119" s="185">
        <v>37</v>
      </c>
      <c r="AN119" s="237"/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5"/>
    </row>
    <row r="121" spans="1:40" ht="12.75" customHeight="1" x14ac:dyDescent="0.2">
      <c r="A121" s="6" t="s">
        <v>370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M121" s="27">
        <v>10</v>
      </c>
      <c r="P121" s="172">
        <v>1</v>
      </c>
      <c r="Q121" s="172">
        <v>2</v>
      </c>
      <c r="R121" s="172">
        <v>3</v>
      </c>
      <c r="S121" s="172">
        <v>4</v>
      </c>
      <c r="T121" s="172">
        <v>5</v>
      </c>
      <c r="U121" s="172">
        <v>6</v>
      </c>
      <c r="V121" s="172">
        <v>7</v>
      </c>
      <c r="W121" s="172">
        <v>8</v>
      </c>
      <c r="X121" s="172">
        <v>9</v>
      </c>
      <c r="Y121" s="172">
        <v>10</v>
      </c>
      <c r="Z121" s="172">
        <v>10</v>
      </c>
    </row>
    <row r="122" spans="1:40" ht="32.4" x14ac:dyDescent="0.2">
      <c r="A122" s="12" t="str">
        <f>A90</f>
        <v>【居住圏域別】</v>
      </c>
      <c r="B122" s="59" t="str">
        <f>B71</f>
        <v>調査数</v>
      </c>
      <c r="C122" s="60" t="str">
        <f t="shared" ref="C122:M122" si="63">C106</f>
        <v>防災対策</v>
      </c>
      <c r="D122" s="61" t="str">
        <f t="shared" si="63"/>
        <v>道路整備・維持管理</v>
      </c>
      <c r="E122" s="61" t="str">
        <f t="shared" si="63"/>
        <v>高齢者福祉</v>
      </c>
      <c r="F122" s="61" t="str">
        <f t="shared" si="63"/>
        <v>地域医療の確保</v>
      </c>
      <c r="G122" s="61" t="str">
        <f t="shared" si="63"/>
        <v>子育て支援</v>
      </c>
      <c r="H122" s="61" t="str">
        <f t="shared" si="63"/>
        <v>防犯・交通安全対策</v>
      </c>
      <c r="I122" s="62" t="str">
        <f t="shared" si="63"/>
        <v>河川整備・維持管理</v>
      </c>
      <c r="J122" s="61" t="str">
        <f t="shared" si="63"/>
        <v>自然環境保全</v>
      </c>
      <c r="K122" s="62" t="str">
        <f t="shared" si="63"/>
        <v>廃棄物対策</v>
      </c>
      <c r="L122" s="63" t="str">
        <f t="shared" si="63"/>
        <v>観光振興</v>
      </c>
      <c r="M122" s="63" t="str">
        <f t="shared" si="63"/>
        <v>健康増進</v>
      </c>
      <c r="N122" s="44" t="s">
        <v>32</v>
      </c>
      <c r="O122" s="12" t="str">
        <f>A122</f>
        <v>【居住圏域別】</v>
      </c>
      <c r="P122" s="60" t="str">
        <f t="shared" ref="P122:Z122" si="64">C122</f>
        <v>防災対策</v>
      </c>
      <c r="Q122" s="61" t="str">
        <f t="shared" si="64"/>
        <v>道路整備・維持管理</v>
      </c>
      <c r="R122" s="61" t="str">
        <f t="shared" si="64"/>
        <v>高齢者福祉</v>
      </c>
      <c r="S122" s="61" t="str">
        <f t="shared" si="64"/>
        <v>地域医療の確保</v>
      </c>
      <c r="T122" s="61" t="str">
        <f t="shared" si="64"/>
        <v>子育て支援</v>
      </c>
      <c r="U122" s="61" t="str">
        <f t="shared" si="64"/>
        <v>防犯・交通安全対策</v>
      </c>
      <c r="V122" s="61" t="str">
        <f t="shared" si="64"/>
        <v>河川整備・維持管理</v>
      </c>
      <c r="W122" s="61" t="str">
        <f t="shared" si="64"/>
        <v>自然環境保全</v>
      </c>
      <c r="X122" s="62" t="str">
        <f t="shared" si="64"/>
        <v>廃棄物対策</v>
      </c>
      <c r="Y122" s="63" t="str">
        <f t="shared" si="64"/>
        <v>観光振興</v>
      </c>
      <c r="Z122" s="63" t="str">
        <f t="shared" si="64"/>
        <v>健康増進</v>
      </c>
    </row>
    <row r="123" spans="1:40" ht="12.75" customHeight="1" x14ac:dyDescent="0.2">
      <c r="A123" s="269" t="str">
        <f>A91</f>
        <v>全体(n = 1,616 )　　</v>
      </c>
      <c r="B123" s="224" t="str">
        <f t="shared" ref="B123:B134" si="65">B91</f>
        <v>1,616</v>
      </c>
      <c r="C123" s="121">
        <f t="shared" ref="C123:M123" si="66">C107</f>
        <v>453</v>
      </c>
      <c r="D123" s="122">
        <f t="shared" si="66"/>
        <v>296</v>
      </c>
      <c r="E123" s="122">
        <f t="shared" si="66"/>
        <v>287</v>
      </c>
      <c r="F123" s="122">
        <f t="shared" si="66"/>
        <v>284</v>
      </c>
      <c r="G123" s="122">
        <f t="shared" si="66"/>
        <v>248</v>
      </c>
      <c r="H123" s="122">
        <f t="shared" si="66"/>
        <v>237</v>
      </c>
      <c r="I123" s="123">
        <f t="shared" si="66"/>
        <v>213</v>
      </c>
      <c r="J123" s="122">
        <f t="shared" si="66"/>
        <v>203</v>
      </c>
      <c r="K123" s="123">
        <f t="shared" si="66"/>
        <v>194</v>
      </c>
      <c r="L123" s="124">
        <f t="shared" si="66"/>
        <v>180</v>
      </c>
      <c r="M123" s="124">
        <f t="shared" si="66"/>
        <v>178</v>
      </c>
      <c r="O123" s="93" t="str">
        <f>A125</f>
        <v>岐阜圏域(n = 617 )　　</v>
      </c>
      <c r="P123" s="84">
        <f t="shared" ref="P123:Z123" si="67">C126</f>
        <v>26.418152350081037</v>
      </c>
      <c r="Q123" s="85">
        <f t="shared" si="67"/>
        <v>16.045380875202593</v>
      </c>
      <c r="R123" s="85">
        <f t="shared" si="67"/>
        <v>16.207455429497568</v>
      </c>
      <c r="S123" s="85">
        <f t="shared" si="67"/>
        <v>18.80064829821718</v>
      </c>
      <c r="T123" s="85">
        <f t="shared" si="67"/>
        <v>16.045380875202593</v>
      </c>
      <c r="U123" s="85">
        <f t="shared" si="67"/>
        <v>13.938411669367909</v>
      </c>
      <c r="V123" s="85">
        <f t="shared" si="67"/>
        <v>13.290113452188008</v>
      </c>
      <c r="W123" s="85">
        <f t="shared" si="67"/>
        <v>10.696920583468396</v>
      </c>
      <c r="X123" s="86">
        <f t="shared" si="67"/>
        <v>12.479740680713128</v>
      </c>
      <c r="Y123" s="87">
        <f t="shared" si="67"/>
        <v>8.7520259319286886</v>
      </c>
      <c r="Z123" s="87">
        <f t="shared" si="67"/>
        <v>11.507293354943274</v>
      </c>
    </row>
    <row r="124" spans="1:40" ht="12.75" customHeight="1" x14ac:dyDescent="0.2">
      <c r="A124" s="270"/>
      <c r="B124" s="114">
        <f t="shared" si="65"/>
        <v>100</v>
      </c>
      <c r="C124" s="125">
        <f t="shared" ref="C124:M124" si="68">C108</f>
        <v>28.032178217821784</v>
      </c>
      <c r="D124" s="126">
        <f t="shared" si="68"/>
        <v>18.316831683168317</v>
      </c>
      <c r="E124" s="126">
        <f t="shared" si="68"/>
        <v>17.759900990099009</v>
      </c>
      <c r="F124" s="126">
        <f t="shared" si="68"/>
        <v>17.574257425742573</v>
      </c>
      <c r="G124" s="126">
        <f t="shared" si="68"/>
        <v>15.346534653465346</v>
      </c>
      <c r="H124" s="126">
        <f t="shared" si="68"/>
        <v>14.665841584158414</v>
      </c>
      <c r="I124" s="127">
        <f t="shared" si="68"/>
        <v>13.180693069306932</v>
      </c>
      <c r="J124" s="126">
        <f t="shared" si="68"/>
        <v>12.561881188118813</v>
      </c>
      <c r="K124" s="127">
        <f t="shared" si="68"/>
        <v>12.004950495049505</v>
      </c>
      <c r="L124" s="128">
        <f t="shared" si="68"/>
        <v>11.138613861386139</v>
      </c>
      <c r="M124" s="128">
        <f t="shared" si="68"/>
        <v>11.014851485148515</v>
      </c>
      <c r="O124" s="95" t="str">
        <f>A127</f>
        <v>西濃圏域(n = 290 )　　</v>
      </c>
      <c r="P124" s="88">
        <f t="shared" ref="P124:Z124" si="69">C128</f>
        <v>31.379310344827587</v>
      </c>
      <c r="Q124" s="89">
        <f t="shared" si="69"/>
        <v>20.689655172413794</v>
      </c>
      <c r="R124" s="89">
        <f t="shared" si="69"/>
        <v>21.379310344827587</v>
      </c>
      <c r="S124" s="89">
        <f t="shared" si="69"/>
        <v>20.689655172413794</v>
      </c>
      <c r="T124" s="89">
        <f t="shared" si="69"/>
        <v>22.758620689655174</v>
      </c>
      <c r="U124" s="89">
        <f t="shared" si="69"/>
        <v>14.482758620689657</v>
      </c>
      <c r="V124" s="89">
        <f t="shared" si="69"/>
        <v>18.620689655172416</v>
      </c>
      <c r="W124" s="89">
        <f t="shared" si="69"/>
        <v>14.13793103448276</v>
      </c>
      <c r="X124" s="90">
        <f t="shared" si="69"/>
        <v>12.413793103448276</v>
      </c>
      <c r="Y124" s="91">
        <f t="shared" si="69"/>
        <v>9.3103448275862082</v>
      </c>
      <c r="Z124" s="91">
        <f t="shared" si="69"/>
        <v>11.03448275862069</v>
      </c>
    </row>
    <row r="125" spans="1:40" ht="12.75" customHeight="1" x14ac:dyDescent="0.2">
      <c r="A125" s="269" t="str">
        <f>A93</f>
        <v>岐阜圏域(n = 617 )　　</v>
      </c>
      <c r="B125" s="113">
        <f t="shared" si="65"/>
        <v>617</v>
      </c>
      <c r="C125" s="129">
        <f t="shared" ref="C125:M125" si="70">C109</f>
        <v>163</v>
      </c>
      <c r="D125" s="130">
        <f t="shared" si="70"/>
        <v>99</v>
      </c>
      <c r="E125" s="130">
        <f t="shared" si="70"/>
        <v>100</v>
      </c>
      <c r="F125" s="130">
        <f t="shared" si="70"/>
        <v>116</v>
      </c>
      <c r="G125" s="130">
        <f t="shared" si="70"/>
        <v>99</v>
      </c>
      <c r="H125" s="130">
        <f t="shared" si="70"/>
        <v>86</v>
      </c>
      <c r="I125" s="140">
        <f t="shared" si="70"/>
        <v>82</v>
      </c>
      <c r="J125" s="130">
        <f t="shared" si="70"/>
        <v>66</v>
      </c>
      <c r="K125" s="140">
        <f t="shared" si="70"/>
        <v>77</v>
      </c>
      <c r="L125" s="131">
        <f t="shared" si="70"/>
        <v>54</v>
      </c>
      <c r="M125" s="131">
        <f t="shared" si="70"/>
        <v>71</v>
      </c>
      <c r="O125" s="95" t="str">
        <f>A129</f>
        <v>中濃圏域(n = 300 )　　</v>
      </c>
      <c r="P125" s="88">
        <f t="shared" ref="P125:Z125" si="71">C130</f>
        <v>25.333333333333336</v>
      </c>
      <c r="Q125" s="89">
        <f t="shared" si="71"/>
        <v>21.666666666666668</v>
      </c>
      <c r="R125" s="89">
        <f t="shared" si="71"/>
        <v>18.333333333333332</v>
      </c>
      <c r="S125" s="89">
        <f t="shared" si="71"/>
        <v>21.333333333333336</v>
      </c>
      <c r="T125" s="89">
        <f t="shared" si="71"/>
        <v>14.666666666666666</v>
      </c>
      <c r="U125" s="89">
        <f t="shared" si="71"/>
        <v>17.333333333333336</v>
      </c>
      <c r="V125" s="89">
        <f t="shared" si="71"/>
        <v>11</v>
      </c>
      <c r="W125" s="89">
        <f t="shared" si="71"/>
        <v>15.333333333333332</v>
      </c>
      <c r="X125" s="90">
        <f t="shared" si="71"/>
        <v>12</v>
      </c>
      <c r="Y125" s="91">
        <f t="shared" si="71"/>
        <v>12.333333333333334</v>
      </c>
      <c r="Z125" s="91">
        <f t="shared" si="71"/>
        <v>11.333333333333332</v>
      </c>
    </row>
    <row r="126" spans="1:40" ht="13.5" customHeight="1" x14ac:dyDescent="0.2">
      <c r="A126" s="270"/>
      <c r="B126" s="114">
        <f t="shared" si="65"/>
        <v>38.180693069306933</v>
      </c>
      <c r="C126" s="125">
        <f t="shared" ref="C126:M126" si="72">C110</f>
        <v>26.418152350081037</v>
      </c>
      <c r="D126" s="126">
        <f t="shared" si="72"/>
        <v>16.045380875202593</v>
      </c>
      <c r="E126" s="126">
        <f t="shared" si="72"/>
        <v>16.207455429497568</v>
      </c>
      <c r="F126" s="126">
        <f t="shared" si="72"/>
        <v>18.80064829821718</v>
      </c>
      <c r="G126" s="126">
        <f t="shared" si="72"/>
        <v>16.045380875202593</v>
      </c>
      <c r="H126" s="126">
        <f t="shared" si="72"/>
        <v>13.938411669367909</v>
      </c>
      <c r="I126" s="127">
        <f t="shared" si="72"/>
        <v>13.290113452188008</v>
      </c>
      <c r="J126" s="126">
        <f t="shared" si="72"/>
        <v>10.696920583468396</v>
      </c>
      <c r="K126" s="127">
        <f t="shared" si="72"/>
        <v>12.479740680713128</v>
      </c>
      <c r="L126" s="128">
        <f t="shared" si="72"/>
        <v>8.7520259319286886</v>
      </c>
      <c r="M126" s="128">
        <f t="shared" si="72"/>
        <v>11.507293354943274</v>
      </c>
      <c r="O126" s="95" t="str">
        <f>A131</f>
        <v>東濃圏域(n = 271 )　　</v>
      </c>
      <c r="P126" s="88">
        <f t="shared" ref="P126:Z126" si="73">C132</f>
        <v>30.627306273062732</v>
      </c>
      <c r="Q126" s="89">
        <f t="shared" si="73"/>
        <v>17.343173431734318</v>
      </c>
      <c r="R126" s="89">
        <f t="shared" si="73"/>
        <v>15.498154981549817</v>
      </c>
      <c r="S126" s="89">
        <f t="shared" si="73"/>
        <v>11.808118081180812</v>
      </c>
      <c r="T126" s="89">
        <f t="shared" si="73"/>
        <v>7.3800738007380069</v>
      </c>
      <c r="U126" s="89">
        <f t="shared" si="73"/>
        <v>14.760147601476014</v>
      </c>
      <c r="V126" s="89">
        <f t="shared" si="73"/>
        <v>9.5940959409594093</v>
      </c>
      <c r="W126" s="89">
        <f t="shared" si="73"/>
        <v>11.07011070110701</v>
      </c>
      <c r="X126" s="90">
        <f t="shared" si="73"/>
        <v>11.07011070110701</v>
      </c>
      <c r="Y126" s="91">
        <f t="shared" si="73"/>
        <v>13.284132841328415</v>
      </c>
      <c r="Z126" s="91">
        <f t="shared" si="73"/>
        <v>11.439114391143912</v>
      </c>
    </row>
    <row r="127" spans="1:40" ht="13.5" customHeight="1" x14ac:dyDescent="0.2">
      <c r="A127" s="269" t="str">
        <f>A95</f>
        <v>西濃圏域(n = 290 )　　</v>
      </c>
      <c r="B127" s="113">
        <f t="shared" si="65"/>
        <v>290</v>
      </c>
      <c r="C127" s="129">
        <f t="shared" ref="C127:M127" si="74">C111</f>
        <v>91</v>
      </c>
      <c r="D127" s="130">
        <f t="shared" si="74"/>
        <v>60</v>
      </c>
      <c r="E127" s="130">
        <f t="shared" si="74"/>
        <v>62</v>
      </c>
      <c r="F127" s="130">
        <f t="shared" si="74"/>
        <v>60</v>
      </c>
      <c r="G127" s="130">
        <f t="shared" si="74"/>
        <v>66</v>
      </c>
      <c r="H127" s="130">
        <f t="shared" si="74"/>
        <v>42</v>
      </c>
      <c r="I127" s="140">
        <f t="shared" si="74"/>
        <v>54</v>
      </c>
      <c r="J127" s="130">
        <f t="shared" si="74"/>
        <v>41</v>
      </c>
      <c r="K127" s="140">
        <f t="shared" si="74"/>
        <v>36</v>
      </c>
      <c r="L127" s="131">
        <f t="shared" si="74"/>
        <v>27</v>
      </c>
      <c r="M127" s="131">
        <f t="shared" si="74"/>
        <v>32</v>
      </c>
      <c r="O127" s="94" t="str">
        <f>A133</f>
        <v>飛騨圏域(n = 106 )　　</v>
      </c>
      <c r="P127" s="78">
        <f t="shared" ref="P127:Z127" si="75">C134</f>
        <v>33.018867924528301</v>
      </c>
      <c r="Q127" s="79">
        <f t="shared" si="75"/>
        <v>18.867924528301888</v>
      </c>
      <c r="R127" s="79">
        <f t="shared" si="75"/>
        <v>18.867924528301888</v>
      </c>
      <c r="S127" s="79">
        <f t="shared" si="75"/>
        <v>6.6037735849056602</v>
      </c>
      <c r="T127" s="79">
        <f t="shared" si="75"/>
        <v>11.320754716981133</v>
      </c>
      <c r="U127" s="79">
        <f t="shared" si="75"/>
        <v>13.20754716981132</v>
      </c>
      <c r="V127" s="79">
        <f t="shared" si="75"/>
        <v>16.037735849056602</v>
      </c>
      <c r="W127" s="79">
        <f t="shared" si="75"/>
        <v>16.037735849056602</v>
      </c>
      <c r="X127" s="80">
        <f t="shared" si="75"/>
        <v>11.320754716981133</v>
      </c>
      <c r="Y127" s="81">
        <f t="shared" si="75"/>
        <v>24.528301886792452</v>
      </c>
      <c r="Z127" s="81">
        <f t="shared" si="75"/>
        <v>7.5471698113207548</v>
      </c>
    </row>
    <row r="128" spans="1:40" x14ac:dyDescent="0.2">
      <c r="A128" s="270"/>
      <c r="B128" s="114">
        <f t="shared" si="65"/>
        <v>17.945544554455445</v>
      </c>
      <c r="C128" s="125">
        <f t="shared" ref="C128:M128" si="76">C112</f>
        <v>31.379310344827587</v>
      </c>
      <c r="D128" s="126">
        <f t="shared" si="76"/>
        <v>20.689655172413794</v>
      </c>
      <c r="E128" s="126">
        <f t="shared" si="76"/>
        <v>21.379310344827587</v>
      </c>
      <c r="F128" s="126">
        <f t="shared" si="76"/>
        <v>20.689655172413794</v>
      </c>
      <c r="G128" s="126">
        <f t="shared" si="76"/>
        <v>22.758620689655174</v>
      </c>
      <c r="H128" s="126">
        <f t="shared" si="76"/>
        <v>14.482758620689657</v>
      </c>
      <c r="I128" s="127">
        <f t="shared" si="76"/>
        <v>18.620689655172416</v>
      </c>
      <c r="J128" s="126">
        <f t="shared" si="76"/>
        <v>14.13793103448276</v>
      </c>
      <c r="K128" s="127">
        <f t="shared" si="76"/>
        <v>12.413793103448276</v>
      </c>
      <c r="L128" s="128">
        <f t="shared" si="76"/>
        <v>9.3103448275862082</v>
      </c>
      <c r="M128" s="128">
        <f t="shared" si="76"/>
        <v>11.03448275862069</v>
      </c>
    </row>
    <row r="129" spans="1:41" ht="13.5" customHeight="1" x14ac:dyDescent="0.2">
      <c r="A129" s="269" t="str">
        <f>A97</f>
        <v>中濃圏域(n = 300 )　　</v>
      </c>
      <c r="B129" s="113">
        <f t="shared" si="65"/>
        <v>300</v>
      </c>
      <c r="C129" s="129">
        <f t="shared" ref="C129:M129" si="77">C113</f>
        <v>76</v>
      </c>
      <c r="D129" s="130">
        <f t="shared" si="77"/>
        <v>65</v>
      </c>
      <c r="E129" s="130">
        <f t="shared" si="77"/>
        <v>55</v>
      </c>
      <c r="F129" s="130">
        <f t="shared" si="77"/>
        <v>64</v>
      </c>
      <c r="G129" s="130">
        <f t="shared" si="77"/>
        <v>44</v>
      </c>
      <c r="H129" s="130">
        <f t="shared" si="77"/>
        <v>52</v>
      </c>
      <c r="I129" s="140">
        <f t="shared" si="77"/>
        <v>33</v>
      </c>
      <c r="J129" s="130">
        <f t="shared" si="77"/>
        <v>46</v>
      </c>
      <c r="K129" s="140">
        <f t="shared" si="77"/>
        <v>36</v>
      </c>
      <c r="L129" s="131">
        <f t="shared" si="77"/>
        <v>37</v>
      </c>
      <c r="M129" s="131">
        <f t="shared" si="77"/>
        <v>34</v>
      </c>
    </row>
    <row r="130" spans="1:41" x14ac:dyDescent="0.2">
      <c r="A130" s="270"/>
      <c r="B130" s="114">
        <f t="shared" si="65"/>
        <v>18.564356435643564</v>
      </c>
      <c r="C130" s="125">
        <f t="shared" ref="C130:M130" si="78">C114</f>
        <v>25.333333333333336</v>
      </c>
      <c r="D130" s="126">
        <f t="shared" si="78"/>
        <v>21.666666666666668</v>
      </c>
      <c r="E130" s="126">
        <f t="shared" si="78"/>
        <v>18.333333333333332</v>
      </c>
      <c r="F130" s="126">
        <f t="shared" si="78"/>
        <v>21.333333333333336</v>
      </c>
      <c r="G130" s="126">
        <f t="shared" si="78"/>
        <v>14.666666666666666</v>
      </c>
      <c r="H130" s="126">
        <f t="shared" si="78"/>
        <v>17.333333333333336</v>
      </c>
      <c r="I130" s="127">
        <f t="shared" si="78"/>
        <v>11</v>
      </c>
      <c r="J130" s="126">
        <f t="shared" si="78"/>
        <v>15.333333333333332</v>
      </c>
      <c r="K130" s="127">
        <f t="shared" si="78"/>
        <v>12</v>
      </c>
      <c r="L130" s="128">
        <f t="shared" si="78"/>
        <v>12.333333333333334</v>
      </c>
      <c r="M130" s="128">
        <f t="shared" si="78"/>
        <v>11.333333333333332</v>
      </c>
    </row>
    <row r="131" spans="1:41" ht="13.5" customHeight="1" x14ac:dyDescent="0.2">
      <c r="A131" s="269" t="str">
        <f>A99</f>
        <v>東濃圏域(n = 271 )　　</v>
      </c>
      <c r="B131" s="113">
        <f t="shared" si="65"/>
        <v>271</v>
      </c>
      <c r="C131" s="129">
        <f t="shared" ref="C131:M131" si="79">C115</f>
        <v>83</v>
      </c>
      <c r="D131" s="130">
        <f t="shared" si="79"/>
        <v>47</v>
      </c>
      <c r="E131" s="130">
        <f t="shared" si="79"/>
        <v>42</v>
      </c>
      <c r="F131" s="130">
        <f t="shared" si="79"/>
        <v>32</v>
      </c>
      <c r="G131" s="130">
        <f t="shared" si="79"/>
        <v>20</v>
      </c>
      <c r="H131" s="130">
        <f t="shared" si="79"/>
        <v>40</v>
      </c>
      <c r="I131" s="140">
        <f t="shared" si="79"/>
        <v>26</v>
      </c>
      <c r="J131" s="130">
        <f t="shared" si="79"/>
        <v>30</v>
      </c>
      <c r="K131" s="140">
        <f t="shared" si="79"/>
        <v>30</v>
      </c>
      <c r="L131" s="131">
        <f t="shared" si="79"/>
        <v>36</v>
      </c>
      <c r="M131" s="131">
        <f t="shared" si="79"/>
        <v>31</v>
      </c>
    </row>
    <row r="132" spans="1:41" x14ac:dyDescent="0.2">
      <c r="A132" s="270"/>
      <c r="B132" s="114">
        <f t="shared" si="65"/>
        <v>16.769801980198022</v>
      </c>
      <c r="C132" s="125">
        <f t="shared" ref="C132:M132" si="80">C116</f>
        <v>30.627306273062732</v>
      </c>
      <c r="D132" s="126">
        <f t="shared" si="80"/>
        <v>17.343173431734318</v>
      </c>
      <c r="E132" s="126">
        <f t="shared" si="80"/>
        <v>15.498154981549817</v>
      </c>
      <c r="F132" s="126">
        <f t="shared" si="80"/>
        <v>11.808118081180812</v>
      </c>
      <c r="G132" s="126">
        <f t="shared" si="80"/>
        <v>7.3800738007380069</v>
      </c>
      <c r="H132" s="126">
        <f t="shared" si="80"/>
        <v>14.760147601476014</v>
      </c>
      <c r="I132" s="127">
        <f t="shared" si="80"/>
        <v>9.5940959409594093</v>
      </c>
      <c r="J132" s="126">
        <f t="shared" si="80"/>
        <v>11.07011070110701</v>
      </c>
      <c r="K132" s="127">
        <f t="shared" si="80"/>
        <v>11.07011070110701</v>
      </c>
      <c r="L132" s="128">
        <f t="shared" si="80"/>
        <v>13.284132841328415</v>
      </c>
      <c r="M132" s="128">
        <f t="shared" si="80"/>
        <v>11.439114391143912</v>
      </c>
    </row>
    <row r="133" spans="1:41" ht="13.5" customHeight="1" x14ac:dyDescent="0.2">
      <c r="A133" s="269" t="str">
        <f>A101</f>
        <v>飛騨圏域(n = 106 )　　</v>
      </c>
      <c r="B133" s="113">
        <f t="shared" si="65"/>
        <v>106</v>
      </c>
      <c r="C133" s="129">
        <f t="shared" ref="C133:M133" si="81">C117</f>
        <v>35</v>
      </c>
      <c r="D133" s="130">
        <f t="shared" si="81"/>
        <v>20</v>
      </c>
      <c r="E133" s="130">
        <f t="shared" si="81"/>
        <v>20</v>
      </c>
      <c r="F133" s="130">
        <f t="shared" si="81"/>
        <v>7</v>
      </c>
      <c r="G133" s="130">
        <f t="shared" si="81"/>
        <v>12</v>
      </c>
      <c r="H133" s="130">
        <f t="shared" si="81"/>
        <v>14</v>
      </c>
      <c r="I133" s="140">
        <f t="shared" si="81"/>
        <v>17</v>
      </c>
      <c r="J133" s="130">
        <f t="shared" si="81"/>
        <v>17</v>
      </c>
      <c r="K133" s="140">
        <f t="shared" si="81"/>
        <v>12</v>
      </c>
      <c r="L133" s="131">
        <f t="shared" si="81"/>
        <v>26</v>
      </c>
      <c r="M133" s="131">
        <f t="shared" si="81"/>
        <v>8</v>
      </c>
    </row>
    <row r="134" spans="1:41" x14ac:dyDescent="0.2">
      <c r="A134" s="270"/>
      <c r="B134" s="114">
        <f t="shared" si="65"/>
        <v>6.5594059405940595</v>
      </c>
      <c r="C134" s="125">
        <f t="shared" ref="C134:M134" si="82">C118</f>
        <v>33.018867924528301</v>
      </c>
      <c r="D134" s="126">
        <f t="shared" si="82"/>
        <v>18.867924528301888</v>
      </c>
      <c r="E134" s="126">
        <f t="shared" si="82"/>
        <v>18.867924528301888</v>
      </c>
      <c r="F134" s="126">
        <f t="shared" si="82"/>
        <v>6.6037735849056602</v>
      </c>
      <c r="G134" s="126">
        <f t="shared" si="82"/>
        <v>11.320754716981133</v>
      </c>
      <c r="H134" s="126">
        <f t="shared" si="82"/>
        <v>13.20754716981132</v>
      </c>
      <c r="I134" s="127">
        <f t="shared" si="82"/>
        <v>16.037735849056602</v>
      </c>
      <c r="J134" s="126">
        <f t="shared" si="82"/>
        <v>16.037735849056602</v>
      </c>
      <c r="K134" s="127">
        <f t="shared" si="82"/>
        <v>11.320754716981133</v>
      </c>
      <c r="L134" s="128">
        <f t="shared" si="82"/>
        <v>24.528301886792452</v>
      </c>
      <c r="M134" s="128">
        <f t="shared" si="82"/>
        <v>7.5471698113207548</v>
      </c>
    </row>
    <row r="136" spans="1:41" x14ac:dyDescent="0.2">
      <c r="A136" s="3" t="s">
        <v>372</v>
      </c>
      <c r="B136" s="1" t="str">
        <f>B89</f>
        <v>県の取り組みでよくやっていると思う分野</v>
      </c>
      <c r="C136" s="8"/>
      <c r="D136" s="9"/>
      <c r="E136" s="8"/>
      <c r="F136" s="9"/>
      <c r="G136" s="8"/>
      <c r="H136" s="9"/>
      <c r="I136" s="8"/>
      <c r="J136" s="9"/>
      <c r="K136" s="8"/>
      <c r="L136" s="9"/>
      <c r="M136" s="8"/>
      <c r="N136" s="9"/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8"/>
      <c r="Z136" s="9"/>
      <c r="AA136" s="8"/>
      <c r="AB136" s="9"/>
      <c r="AC136" s="8"/>
      <c r="AD136" s="9"/>
      <c r="AE136" s="8"/>
      <c r="AF136" s="9"/>
      <c r="AG136" s="8"/>
      <c r="AH136" s="9"/>
      <c r="AI136" s="8"/>
      <c r="AJ136" s="9"/>
      <c r="AK136" s="8"/>
      <c r="AL136" s="9"/>
    </row>
    <row r="137" spans="1:41" ht="64.8" x14ac:dyDescent="0.2">
      <c r="A137" s="13" t="s">
        <v>29</v>
      </c>
      <c r="B137" s="59" t="str">
        <f>B90</f>
        <v>調査数</v>
      </c>
      <c r="C137" s="60" t="str">
        <f t="shared" ref="C137:AL137" si="83">C90</f>
        <v>防災対策</v>
      </c>
      <c r="D137" s="61" t="str">
        <f t="shared" si="83"/>
        <v>自然環境保全</v>
      </c>
      <c r="E137" s="61" t="str">
        <f t="shared" si="83"/>
        <v>住環境保全</v>
      </c>
      <c r="F137" s="61" t="str">
        <f t="shared" si="83"/>
        <v>廃棄物対策</v>
      </c>
      <c r="G137" s="61" t="str">
        <f t="shared" si="83"/>
        <v>消費者保護</v>
      </c>
      <c r="H137" s="61" t="str">
        <f t="shared" si="83"/>
        <v>防犯・交通安全対策</v>
      </c>
      <c r="I137" s="61" t="str">
        <f t="shared" si="83"/>
        <v>地域コミュニティの活性化</v>
      </c>
      <c r="J137" s="61" t="str">
        <f t="shared" si="83"/>
        <v>地域医療の確保</v>
      </c>
      <c r="K137" s="61" t="str">
        <f t="shared" si="83"/>
        <v>健康増進</v>
      </c>
      <c r="L137" s="61" t="str">
        <f t="shared" si="83"/>
        <v>食品の安全対策</v>
      </c>
      <c r="M137" s="61" t="str">
        <f t="shared" si="83"/>
        <v>薬物対策</v>
      </c>
      <c r="N137" s="61" t="str">
        <f t="shared" si="83"/>
        <v>高齢者福祉</v>
      </c>
      <c r="O137" s="61" t="str">
        <f t="shared" si="83"/>
        <v>障がい者福祉</v>
      </c>
      <c r="P137" s="61" t="str">
        <f t="shared" si="83"/>
        <v>少子化対策</v>
      </c>
      <c r="Q137" s="61" t="str">
        <f t="shared" si="83"/>
        <v>子育て支援</v>
      </c>
      <c r="R137" s="61" t="str">
        <f t="shared" si="83"/>
        <v>中小企業支援</v>
      </c>
      <c r="S137" s="61" t="str">
        <f t="shared" si="83"/>
        <v>企業誘致</v>
      </c>
      <c r="T137" s="61" t="str">
        <f t="shared" si="83"/>
        <v>成長産業分野の振興</v>
      </c>
      <c r="U137" s="61" t="str">
        <f t="shared" si="83"/>
        <v>観光振興</v>
      </c>
      <c r="V137" s="61" t="str">
        <f t="shared" si="83"/>
        <v>就労支援</v>
      </c>
      <c r="W137" s="61" t="str">
        <f t="shared" si="83"/>
        <v>労働環境改善</v>
      </c>
      <c r="X137" s="61" t="str">
        <f t="shared" si="83"/>
        <v>様々な産業を担う人材の育成</v>
      </c>
      <c r="Y137" s="61" t="str">
        <f t="shared" si="83"/>
        <v>女性の活躍推進</v>
      </c>
      <c r="Z137" s="61" t="str">
        <f t="shared" si="83"/>
        <v>農業等振興</v>
      </c>
      <c r="AA137" s="61" t="str">
        <f t="shared" si="83"/>
        <v>林業振興</v>
      </c>
      <c r="AB137" s="61" t="str">
        <f t="shared" si="83"/>
        <v>道路整備・維持管理</v>
      </c>
      <c r="AC137" s="61" t="str">
        <f t="shared" si="83"/>
        <v>河川整備・維持管理</v>
      </c>
      <c r="AD137" s="61" t="str">
        <f t="shared" si="83"/>
        <v>砂防対策</v>
      </c>
      <c r="AE137" s="61" t="str">
        <f t="shared" si="83"/>
        <v>公共交通の充実</v>
      </c>
      <c r="AF137" s="61" t="str">
        <f t="shared" si="83"/>
        <v>公園整備</v>
      </c>
      <c r="AG137" s="61" t="str">
        <f t="shared" si="83"/>
        <v>学校教育の充実</v>
      </c>
      <c r="AH137" s="61" t="str">
        <f t="shared" si="83"/>
        <v>社会教育・生涯学習の充実</v>
      </c>
      <c r="AI137" s="61" t="str">
        <f t="shared" si="83"/>
        <v>文化・芸術の振興</v>
      </c>
      <c r="AJ137" s="61" t="str">
        <f t="shared" si="83"/>
        <v>スポーツやレクリエーション
                        の推進</v>
      </c>
      <c r="AK137" s="61" t="str">
        <f t="shared" si="83"/>
        <v>若者の県内定着</v>
      </c>
      <c r="AL137" s="61" t="str">
        <f t="shared" si="83"/>
        <v>県外からの移住・定住の推進</v>
      </c>
      <c r="AM137" s="63"/>
      <c r="AN137" s="5" t="s">
        <v>118</v>
      </c>
    </row>
    <row r="138" spans="1:41" ht="13.5" customHeight="1" x14ac:dyDescent="0.2">
      <c r="A138" s="269" t="str">
        <f>'問9S（表）'!A68</f>
        <v>全体(n = 1,616 )　　</v>
      </c>
      <c r="B138" s="34">
        <f>'問9S（表）'!B68</f>
        <v>1616</v>
      </c>
      <c r="C138" s="31">
        <f>$C$3</f>
        <v>453</v>
      </c>
      <c r="D138" s="32">
        <f>$D$3</f>
        <v>203</v>
      </c>
      <c r="E138" s="32">
        <f>$E$3</f>
        <v>55</v>
      </c>
      <c r="F138" s="32">
        <f>$F$3</f>
        <v>194</v>
      </c>
      <c r="G138" s="32">
        <f>$G$3</f>
        <v>29</v>
      </c>
      <c r="H138" s="32">
        <f>$H$3</f>
        <v>237</v>
      </c>
      <c r="I138" s="32">
        <f>$I$3</f>
        <v>127</v>
      </c>
      <c r="J138" s="32">
        <f>$J$3</f>
        <v>284</v>
      </c>
      <c r="K138" s="32">
        <f>$K$3</f>
        <v>178</v>
      </c>
      <c r="L138" s="32">
        <f>$L$3</f>
        <v>97</v>
      </c>
      <c r="M138" s="32">
        <f>$M$3</f>
        <v>23</v>
      </c>
      <c r="N138" s="32">
        <f>$N$3</f>
        <v>287</v>
      </c>
      <c r="O138" s="32">
        <f>$O$3</f>
        <v>100</v>
      </c>
      <c r="P138" s="32">
        <f>$P$3</f>
        <v>37</v>
      </c>
      <c r="Q138" s="32">
        <f>$Q$3</f>
        <v>248</v>
      </c>
      <c r="R138" s="32">
        <f>$R$3</f>
        <v>71</v>
      </c>
      <c r="S138" s="32">
        <f>$S$3</f>
        <v>48</v>
      </c>
      <c r="T138" s="32">
        <f>$T$3</f>
        <v>35</v>
      </c>
      <c r="U138" s="32">
        <f>$U$3</f>
        <v>180</v>
      </c>
      <c r="V138" s="32">
        <f>$V$3</f>
        <v>38</v>
      </c>
      <c r="W138" s="32">
        <f>$W$3</f>
        <v>18</v>
      </c>
      <c r="X138" s="32">
        <f>$X$3</f>
        <v>12</v>
      </c>
      <c r="Y138" s="32">
        <f>$Y$3</f>
        <v>23</v>
      </c>
      <c r="Z138" s="32">
        <f>$Z$3</f>
        <v>76</v>
      </c>
      <c r="AA138" s="32">
        <f>$AA$3</f>
        <v>21</v>
      </c>
      <c r="AB138" s="32">
        <f>$AB$3</f>
        <v>296</v>
      </c>
      <c r="AC138" s="32">
        <f>$AC$3</f>
        <v>213</v>
      </c>
      <c r="AD138" s="32">
        <f>$AD$3</f>
        <v>75</v>
      </c>
      <c r="AE138" s="32">
        <f>$AE$3</f>
        <v>91</v>
      </c>
      <c r="AF138" s="32">
        <f>$AF$3</f>
        <v>136</v>
      </c>
      <c r="AG138" s="32">
        <f>$AG$3</f>
        <v>134</v>
      </c>
      <c r="AH138" s="32">
        <f>$AH$3</f>
        <v>64</v>
      </c>
      <c r="AI138" s="32">
        <f>$AI$3</f>
        <v>94</v>
      </c>
      <c r="AJ138" s="32">
        <f>$AJ$3</f>
        <v>123</v>
      </c>
      <c r="AK138" s="32">
        <f>$AK$3</f>
        <v>30</v>
      </c>
      <c r="AL138" s="32">
        <f>$AL$3</f>
        <v>57</v>
      </c>
      <c r="AM138" s="33"/>
      <c r="AN138" s="5">
        <f>SUM($C138:AM138)</f>
        <v>4387</v>
      </c>
    </row>
    <row r="139" spans="1:41" x14ac:dyDescent="0.2">
      <c r="A139" s="270"/>
      <c r="B139" s="35">
        <f>'問9S（表）'!B69</f>
        <v>100</v>
      </c>
      <c r="C139" s="20">
        <f t="shared" ref="C139:AL139" si="84">C138/$B$138*100</f>
        <v>28.032178217821784</v>
      </c>
      <c r="D139" s="207">
        <f t="shared" si="84"/>
        <v>12.561881188118813</v>
      </c>
      <c r="E139" s="207">
        <f t="shared" si="84"/>
        <v>3.4034653465346536</v>
      </c>
      <c r="F139" s="207">
        <f t="shared" si="84"/>
        <v>12.004950495049505</v>
      </c>
      <c r="G139" s="207">
        <f t="shared" si="84"/>
        <v>1.7945544554455444</v>
      </c>
      <c r="H139" s="207">
        <f t="shared" si="84"/>
        <v>14.665841584158414</v>
      </c>
      <c r="I139" s="207">
        <f t="shared" si="84"/>
        <v>7.858910891089109</v>
      </c>
      <c r="J139" s="207">
        <f t="shared" si="84"/>
        <v>17.574257425742573</v>
      </c>
      <c r="K139" s="207">
        <f t="shared" si="84"/>
        <v>11.014851485148515</v>
      </c>
      <c r="L139" s="207">
        <f t="shared" si="84"/>
        <v>6.0024752475247523</v>
      </c>
      <c r="M139" s="207">
        <f t="shared" si="84"/>
        <v>1.4232673267326734</v>
      </c>
      <c r="N139" s="207">
        <f t="shared" si="84"/>
        <v>17.759900990099009</v>
      </c>
      <c r="O139" s="207">
        <f t="shared" si="84"/>
        <v>6.1881188118811883</v>
      </c>
      <c r="P139" s="207">
        <f t="shared" si="84"/>
        <v>2.2896039603960396</v>
      </c>
      <c r="Q139" s="207">
        <f t="shared" si="84"/>
        <v>15.346534653465346</v>
      </c>
      <c r="R139" s="207">
        <f t="shared" si="84"/>
        <v>4.3935643564356432</v>
      </c>
      <c r="S139" s="207">
        <f t="shared" si="84"/>
        <v>2.9702970297029703</v>
      </c>
      <c r="T139" s="207">
        <f t="shared" si="84"/>
        <v>2.1658415841584158</v>
      </c>
      <c r="U139" s="207">
        <f t="shared" si="84"/>
        <v>11.138613861386139</v>
      </c>
      <c r="V139" s="207">
        <f t="shared" si="84"/>
        <v>2.3514851485148514</v>
      </c>
      <c r="W139" s="207">
        <f t="shared" si="84"/>
        <v>1.1138613861386137</v>
      </c>
      <c r="X139" s="207">
        <f t="shared" si="84"/>
        <v>0.74257425742574257</v>
      </c>
      <c r="Y139" s="207">
        <f t="shared" si="84"/>
        <v>1.4232673267326734</v>
      </c>
      <c r="Z139" s="207">
        <f t="shared" si="84"/>
        <v>4.7029702970297027</v>
      </c>
      <c r="AA139" s="207">
        <f t="shared" si="84"/>
        <v>1.2995049504950495</v>
      </c>
      <c r="AB139" s="207">
        <f t="shared" si="84"/>
        <v>18.316831683168317</v>
      </c>
      <c r="AC139" s="207">
        <f t="shared" si="84"/>
        <v>13.180693069306932</v>
      </c>
      <c r="AD139" s="207">
        <f t="shared" si="84"/>
        <v>4.641089108910891</v>
      </c>
      <c r="AE139" s="207">
        <f t="shared" si="84"/>
        <v>5.6311881188118811</v>
      </c>
      <c r="AF139" s="207">
        <f t="shared" si="84"/>
        <v>8.4158415841584162</v>
      </c>
      <c r="AG139" s="207">
        <f t="shared" si="84"/>
        <v>8.2920792079207928</v>
      </c>
      <c r="AH139" s="207">
        <f t="shared" si="84"/>
        <v>3.9603960396039604</v>
      </c>
      <c r="AI139" s="207">
        <f t="shared" si="84"/>
        <v>5.8168316831683171</v>
      </c>
      <c r="AJ139" s="207">
        <f t="shared" si="84"/>
        <v>7.6113861386138613</v>
      </c>
      <c r="AK139" s="207">
        <f t="shared" si="84"/>
        <v>1.8564356435643563</v>
      </c>
      <c r="AL139" s="207">
        <f t="shared" si="84"/>
        <v>3.527227722772277</v>
      </c>
      <c r="AM139" s="208"/>
      <c r="AN139" s="195"/>
    </row>
    <row r="140" spans="1:41" ht="13.5" customHeight="1" x14ac:dyDescent="0.2">
      <c r="A140" s="269" t="str">
        <f>'問9S（表）'!A70</f>
        <v>自営業(n = 175 )　　</v>
      </c>
      <c r="B140" s="34">
        <f>'問9S（表）'!B70</f>
        <v>175</v>
      </c>
      <c r="C140" s="31">
        <v>56</v>
      </c>
      <c r="D140" s="32">
        <v>23</v>
      </c>
      <c r="E140" s="32">
        <v>2</v>
      </c>
      <c r="F140" s="32">
        <v>22</v>
      </c>
      <c r="G140" s="32">
        <v>1</v>
      </c>
      <c r="H140" s="32">
        <v>28</v>
      </c>
      <c r="I140" s="32">
        <v>6</v>
      </c>
      <c r="J140" s="32">
        <v>30</v>
      </c>
      <c r="K140" s="32">
        <v>10</v>
      </c>
      <c r="L140" s="32">
        <v>14</v>
      </c>
      <c r="M140" s="32">
        <v>4</v>
      </c>
      <c r="N140" s="32">
        <v>36</v>
      </c>
      <c r="O140" s="32">
        <v>11</v>
      </c>
      <c r="P140" s="32">
        <v>6</v>
      </c>
      <c r="Q140" s="32">
        <v>24</v>
      </c>
      <c r="R140" s="32">
        <v>20</v>
      </c>
      <c r="S140" s="32">
        <v>3</v>
      </c>
      <c r="T140" s="32">
        <v>3</v>
      </c>
      <c r="U140" s="32">
        <v>25</v>
      </c>
      <c r="V140" s="32">
        <v>2</v>
      </c>
      <c r="W140" s="32">
        <v>2</v>
      </c>
      <c r="X140" s="32">
        <v>1</v>
      </c>
      <c r="Y140" s="32">
        <v>3</v>
      </c>
      <c r="Z140" s="32">
        <v>14</v>
      </c>
      <c r="AA140" s="32">
        <v>1</v>
      </c>
      <c r="AB140" s="32">
        <v>38</v>
      </c>
      <c r="AC140" s="32">
        <v>18</v>
      </c>
      <c r="AD140" s="32">
        <v>7</v>
      </c>
      <c r="AE140" s="32">
        <v>5</v>
      </c>
      <c r="AF140" s="32">
        <v>10</v>
      </c>
      <c r="AG140" s="32">
        <v>5</v>
      </c>
      <c r="AH140" s="32">
        <v>3</v>
      </c>
      <c r="AI140" s="32">
        <v>7</v>
      </c>
      <c r="AJ140" s="32">
        <v>14</v>
      </c>
      <c r="AK140" s="32">
        <v>3</v>
      </c>
      <c r="AL140" s="32">
        <v>11</v>
      </c>
      <c r="AM140" s="33"/>
      <c r="AN140" s="5">
        <f>SUM($C140:AM140)</f>
        <v>468</v>
      </c>
      <c r="AO140" t="str">
        <f>" 自営業（ n = "&amp;B140&amp;"）"</f>
        <v xml:space="preserve"> 自営業（ n = 175）</v>
      </c>
    </row>
    <row r="141" spans="1:41" x14ac:dyDescent="0.2">
      <c r="A141" s="270"/>
      <c r="B141" s="35">
        <f>'問9S（表）'!B71</f>
        <v>10.829207920792079</v>
      </c>
      <c r="C141" s="20">
        <f t="shared" ref="C141:AL141" si="85">C140/$B$140*100</f>
        <v>32</v>
      </c>
      <c r="D141" s="207">
        <f t="shared" si="85"/>
        <v>13.142857142857142</v>
      </c>
      <c r="E141" s="207">
        <f t="shared" si="85"/>
        <v>1.1428571428571428</v>
      </c>
      <c r="F141" s="207">
        <f t="shared" si="85"/>
        <v>12.571428571428573</v>
      </c>
      <c r="G141" s="207">
        <f t="shared" si="85"/>
        <v>0.5714285714285714</v>
      </c>
      <c r="H141" s="207">
        <f t="shared" si="85"/>
        <v>16</v>
      </c>
      <c r="I141" s="207">
        <f t="shared" si="85"/>
        <v>3.4285714285714288</v>
      </c>
      <c r="J141" s="207">
        <f t="shared" si="85"/>
        <v>17.142857142857142</v>
      </c>
      <c r="K141" s="207">
        <f t="shared" si="85"/>
        <v>5.7142857142857144</v>
      </c>
      <c r="L141" s="207">
        <f t="shared" si="85"/>
        <v>8</v>
      </c>
      <c r="M141" s="207">
        <f t="shared" si="85"/>
        <v>2.2857142857142856</v>
      </c>
      <c r="N141" s="207">
        <f t="shared" si="85"/>
        <v>20.571428571428569</v>
      </c>
      <c r="O141" s="207">
        <f t="shared" si="85"/>
        <v>6.2857142857142865</v>
      </c>
      <c r="P141" s="207">
        <f t="shared" si="85"/>
        <v>3.4285714285714288</v>
      </c>
      <c r="Q141" s="207">
        <f t="shared" si="85"/>
        <v>13.714285714285715</v>
      </c>
      <c r="R141" s="207">
        <f t="shared" si="85"/>
        <v>11.428571428571429</v>
      </c>
      <c r="S141" s="207">
        <f t="shared" si="85"/>
        <v>1.7142857142857144</v>
      </c>
      <c r="T141" s="207">
        <f t="shared" si="85"/>
        <v>1.7142857142857144</v>
      </c>
      <c r="U141" s="207">
        <f t="shared" si="85"/>
        <v>14.285714285714285</v>
      </c>
      <c r="V141" s="207">
        <f t="shared" si="85"/>
        <v>1.1428571428571428</v>
      </c>
      <c r="W141" s="207">
        <f t="shared" si="85"/>
        <v>1.1428571428571428</v>
      </c>
      <c r="X141" s="207">
        <f t="shared" si="85"/>
        <v>0.5714285714285714</v>
      </c>
      <c r="Y141" s="207">
        <f t="shared" si="85"/>
        <v>1.7142857142857144</v>
      </c>
      <c r="Z141" s="207">
        <f t="shared" si="85"/>
        <v>8</v>
      </c>
      <c r="AA141" s="207">
        <f t="shared" si="85"/>
        <v>0.5714285714285714</v>
      </c>
      <c r="AB141" s="207">
        <f t="shared" si="85"/>
        <v>21.714285714285715</v>
      </c>
      <c r="AC141" s="207">
        <f t="shared" si="85"/>
        <v>10.285714285714285</v>
      </c>
      <c r="AD141" s="207">
        <f t="shared" si="85"/>
        <v>4</v>
      </c>
      <c r="AE141" s="207">
        <f t="shared" si="85"/>
        <v>2.8571428571428572</v>
      </c>
      <c r="AF141" s="207">
        <f t="shared" si="85"/>
        <v>5.7142857142857144</v>
      </c>
      <c r="AG141" s="207">
        <f t="shared" si="85"/>
        <v>2.8571428571428572</v>
      </c>
      <c r="AH141" s="207">
        <f t="shared" si="85"/>
        <v>1.7142857142857144</v>
      </c>
      <c r="AI141" s="207">
        <f t="shared" si="85"/>
        <v>4</v>
      </c>
      <c r="AJ141" s="207">
        <f t="shared" si="85"/>
        <v>8</v>
      </c>
      <c r="AK141" s="207">
        <f t="shared" si="85"/>
        <v>1.7142857142857144</v>
      </c>
      <c r="AL141" s="207">
        <f t="shared" si="85"/>
        <v>6.2857142857142865</v>
      </c>
      <c r="AM141" s="208"/>
      <c r="AN141" s="195"/>
    </row>
    <row r="142" spans="1:41" ht="13.5" customHeight="1" x14ac:dyDescent="0.2">
      <c r="A142" s="269" t="str">
        <f>'問9S（表）'!A72</f>
        <v>自由業(※1)(n = 12 )　　</v>
      </c>
      <c r="B142" s="34">
        <f>'問9S（表）'!B72</f>
        <v>12</v>
      </c>
      <c r="C142" s="31">
        <v>3</v>
      </c>
      <c r="D142" s="32">
        <v>1</v>
      </c>
      <c r="E142" s="32">
        <v>0</v>
      </c>
      <c r="F142" s="32">
        <v>1</v>
      </c>
      <c r="G142" s="32">
        <v>0</v>
      </c>
      <c r="H142" s="32">
        <v>2</v>
      </c>
      <c r="I142" s="32">
        <v>0</v>
      </c>
      <c r="J142" s="32">
        <v>1</v>
      </c>
      <c r="K142" s="32">
        <v>1</v>
      </c>
      <c r="L142" s="32">
        <v>1</v>
      </c>
      <c r="M142" s="32">
        <v>0</v>
      </c>
      <c r="N142" s="32">
        <v>4</v>
      </c>
      <c r="O142" s="32">
        <v>2</v>
      </c>
      <c r="P142" s="32">
        <v>0</v>
      </c>
      <c r="Q142" s="32">
        <v>1</v>
      </c>
      <c r="R142" s="32">
        <v>2</v>
      </c>
      <c r="S142" s="32">
        <v>0</v>
      </c>
      <c r="T142" s="32">
        <v>0</v>
      </c>
      <c r="U142" s="32">
        <v>3</v>
      </c>
      <c r="V142" s="32">
        <v>0</v>
      </c>
      <c r="W142" s="32">
        <v>0</v>
      </c>
      <c r="X142" s="32">
        <v>0</v>
      </c>
      <c r="Y142" s="32">
        <v>1</v>
      </c>
      <c r="Z142" s="32">
        <v>0</v>
      </c>
      <c r="AA142" s="32">
        <v>0</v>
      </c>
      <c r="AB142" s="32">
        <v>3</v>
      </c>
      <c r="AC142" s="32">
        <v>1</v>
      </c>
      <c r="AD142" s="32">
        <v>1</v>
      </c>
      <c r="AE142" s="32">
        <v>1</v>
      </c>
      <c r="AF142" s="32">
        <v>1</v>
      </c>
      <c r="AG142" s="32">
        <v>3</v>
      </c>
      <c r="AH142" s="32">
        <v>2</v>
      </c>
      <c r="AI142" s="32">
        <v>2</v>
      </c>
      <c r="AJ142" s="32">
        <v>2</v>
      </c>
      <c r="AK142" s="32">
        <v>0</v>
      </c>
      <c r="AL142" s="32">
        <v>1</v>
      </c>
      <c r="AM142" s="33"/>
      <c r="AN142" s="5">
        <f>SUM($C142:AM142)</f>
        <v>40</v>
      </c>
      <c r="AO142" t="str">
        <f>" 自由業（ n = "&amp;B142&amp;"）"</f>
        <v xml:space="preserve"> 自由業（ n = 12）</v>
      </c>
    </row>
    <row r="143" spans="1:41" x14ac:dyDescent="0.2">
      <c r="A143" s="270"/>
      <c r="B143" s="35">
        <f>'問9S（表）'!B73</f>
        <v>0.74257425742574257</v>
      </c>
      <c r="C143" s="20">
        <f t="shared" ref="C143:AL143" si="86">C142/$B$142*100</f>
        <v>25</v>
      </c>
      <c r="D143" s="207">
        <f t="shared" si="86"/>
        <v>8.3333333333333321</v>
      </c>
      <c r="E143" s="207">
        <f t="shared" si="86"/>
        <v>0</v>
      </c>
      <c r="F143" s="207">
        <f t="shared" si="86"/>
        <v>8.3333333333333321</v>
      </c>
      <c r="G143" s="207">
        <f t="shared" si="86"/>
        <v>0</v>
      </c>
      <c r="H143" s="207">
        <f t="shared" si="86"/>
        <v>16.666666666666664</v>
      </c>
      <c r="I143" s="207">
        <f t="shared" si="86"/>
        <v>0</v>
      </c>
      <c r="J143" s="207">
        <f t="shared" si="86"/>
        <v>8.3333333333333321</v>
      </c>
      <c r="K143" s="207">
        <f t="shared" si="86"/>
        <v>8.3333333333333321</v>
      </c>
      <c r="L143" s="207">
        <f t="shared" si="86"/>
        <v>8.3333333333333321</v>
      </c>
      <c r="M143" s="207">
        <f t="shared" si="86"/>
        <v>0</v>
      </c>
      <c r="N143" s="207">
        <f t="shared" si="86"/>
        <v>33.333333333333329</v>
      </c>
      <c r="O143" s="207">
        <f t="shared" si="86"/>
        <v>16.666666666666664</v>
      </c>
      <c r="P143" s="207">
        <f t="shared" si="86"/>
        <v>0</v>
      </c>
      <c r="Q143" s="207">
        <f t="shared" si="86"/>
        <v>8.3333333333333321</v>
      </c>
      <c r="R143" s="207">
        <f t="shared" si="86"/>
        <v>16.666666666666664</v>
      </c>
      <c r="S143" s="207">
        <f t="shared" si="86"/>
        <v>0</v>
      </c>
      <c r="T143" s="207">
        <f t="shared" si="86"/>
        <v>0</v>
      </c>
      <c r="U143" s="207">
        <f t="shared" si="86"/>
        <v>25</v>
      </c>
      <c r="V143" s="207">
        <f t="shared" si="86"/>
        <v>0</v>
      </c>
      <c r="W143" s="207">
        <f t="shared" si="86"/>
        <v>0</v>
      </c>
      <c r="X143" s="207">
        <f t="shared" si="86"/>
        <v>0</v>
      </c>
      <c r="Y143" s="207">
        <f t="shared" si="86"/>
        <v>8.3333333333333321</v>
      </c>
      <c r="Z143" s="207">
        <f t="shared" si="86"/>
        <v>0</v>
      </c>
      <c r="AA143" s="207">
        <f t="shared" si="86"/>
        <v>0</v>
      </c>
      <c r="AB143" s="207">
        <f t="shared" si="86"/>
        <v>25</v>
      </c>
      <c r="AC143" s="207">
        <f t="shared" si="86"/>
        <v>8.3333333333333321</v>
      </c>
      <c r="AD143" s="207">
        <f t="shared" si="86"/>
        <v>8.3333333333333321</v>
      </c>
      <c r="AE143" s="207">
        <f t="shared" si="86"/>
        <v>8.3333333333333321</v>
      </c>
      <c r="AF143" s="207">
        <f t="shared" si="86"/>
        <v>8.3333333333333321</v>
      </c>
      <c r="AG143" s="207">
        <f t="shared" si="86"/>
        <v>25</v>
      </c>
      <c r="AH143" s="207">
        <f t="shared" si="86"/>
        <v>16.666666666666664</v>
      </c>
      <c r="AI143" s="207">
        <f t="shared" si="86"/>
        <v>16.666666666666664</v>
      </c>
      <c r="AJ143" s="207">
        <f t="shared" si="86"/>
        <v>16.666666666666664</v>
      </c>
      <c r="AK143" s="207">
        <f t="shared" si="86"/>
        <v>0</v>
      </c>
      <c r="AL143" s="207">
        <f t="shared" si="86"/>
        <v>8.3333333333333321</v>
      </c>
      <c r="AM143" s="208"/>
      <c r="AN143" s="195"/>
    </row>
    <row r="144" spans="1:41" ht="13.5" customHeight="1" x14ac:dyDescent="0.2">
      <c r="A144" s="269" t="str">
        <f>'問9S（表）'!A74</f>
        <v>会社・団体役員(n = 171 )　　</v>
      </c>
      <c r="B144" s="34">
        <f>'問9S（表）'!B74</f>
        <v>171</v>
      </c>
      <c r="C144" s="31">
        <v>58</v>
      </c>
      <c r="D144" s="32">
        <v>30</v>
      </c>
      <c r="E144" s="32">
        <v>11</v>
      </c>
      <c r="F144" s="32">
        <v>19</v>
      </c>
      <c r="G144" s="32">
        <v>3</v>
      </c>
      <c r="H144" s="32">
        <v>24</v>
      </c>
      <c r="I144" s="32">
        <v>15</v>
      </c>
      <c r="J144" s="32">
        <v>25</v>
      </c>
      <c r="K144" s="32">
        <v>15</v>
      </c>
      <c r="L144" s="32">
        <v>13</v>
      </c>
      <c r="M144" s="32">
        <v>5</v>
      </c>
      <c r="N144" s="32">
        <v>33</v>
      </c>
      <c r="O144" s="32">
        <v>13</v>
      </c>
      <c r="P144" s="32">
        <v>3</v>
      </c>
      <c r="Q144" s="32">
        <v>25</v>
      </c>
      <c r="R144" s="32">
        <v>7</v>
      </c>
      <c r="S144" s="32">
        <v>4</v>
      </c>
      <c r="T144" s="32">
        <v>1</v>
      </c>
      <c r="U144" s="32">
        <v>11</v>
      </c>
      <c r="V144" s="32">
        <v>1</v>
      </c>
      <c r="W144" s="32">
        <v>5</v>
      </c>
      <c r="X144" s="32">
        <v>1</v>
      </c>
      <c r="Y144" s="32">
        <v>3</v>
      </c>
      <c r="Z144" s="32">
        <v>13</v>
      </c>
      <c r="AA144" s="32">
        <v>4</v>
      </c>
      <c r="AB144" s="32">
        <v>34</v>
      </c>
      <c r="AC144" s="32">
        <v>29</v>
      </c>
      <c r="AD144" s="32">
        <v>11</v>
      </c>
      <c r="AE144" s="32">
        <v>14</v>
      </c>
      <c r="AF144" s="32">
        <v>15</v>
      </c>
      <c r="AG144" s="32">
        <v>14</v>
      </c>
      <c r="AH144" s="32">
        <v>2</v>
      </c>
      <c r="AI144" s="32">
        <v>5</v>
      </c>
      <c r="AJ144" s="32">
        <v>9</v>
      </c>
      <c r="AK144" s="32">
        <v>5</v>
      </c>
      <c r="AL144" s="32">
        <v>6</v>
      </c>
      <c r="AM144" s="33"/>
      <c r="AN144" s="5">
        <f>SUM($C144:AM144)</f>
        <v>486</v>
      </c>
      <c r="AO144" t="str">
        <f>" 会社・団体役員（ n = "&amp;B144&amp;"）"</f>
        <v xml:space="preserve"> 会社・団体役員（ n = 171）</v>
      </c>
    </row>
    <row r="145" spans="1:41" x14ac:dyDescent="0.2">
      <c r="A145" s="270"/>
      <c r="B145" s="35">
        <f>'問9S（表）'!B75</f>
        <v>10.581683168316831</v>
      </c>
      <c r="C145" s="20">
        <f t="shared" ref="C145:AL145" si="87">C144/$B$144*100</f>
        <v>33.918128654970758</v>
      </c>
      <c r="D145" s="207">
        <f t="shared" si="87"/>
        <v>17.543859649122805</v>
      </c>
      <c r="E145" s="207">
        <f t="shared" si="87"/>
        <v>6.4327485380116958</v>
      </c>
      <c r="F145" s="207">
        <f t="shared" si="87"/>
        <v>11.111111111111111</v>
      </c>
      <c r="G145" s="207">
        <f t="shared" si="87"/>
        <v>1.7543859649122806</v>
      </c>
      <c r="H145" s="207">
        <f t="shared" si="87"/>
        <v>14.035087719298245</v>
      </c>
      <c r="I145" s="207">
        <f t="shared" si="87"/>
        <v>8.7719298245614024</v>
      </c>
      <c r="J145" s="207">
        <f t="shared" si="87"/>
        <v>14.619883040935672</v>
      </c>
      <c r="K145" s="207">
        <f t="shared" si="87"/>
        <v>8.7719298245614024</v>
      </c>
      <c r="L145" s="207">
        <f t="shared" si="87"/>
        <v>7.6023391812865491</v>
      </c>
      <c r="M145" s="207">
        <f t="shared" si="87"/>
        <v>2.9239766081871341</v>
      </c>
      <c r="N145" s="207">
        <f t="shared" si="87"/>
        <v>19.298245614035086</v>
      </c>
      <c r="O145" s="207">
        <f t="shared" si="87"/>
        <v>7.6023391812865491</v>
      </c>
      <c r="P145" s="207">
        <f t="shared" si="87"/>
        <v>1.7543859649122806</v>
      </c>
      <c r="Q145" s="207">
        <f t="shared" si="87"/>
        <v>14.619883040935672</v>
      </c>
      <c r="R145" s="207">
        <f t="shared" si="87"/>
        <v>4.0935672514619883</v>
      </c>
      <c r="S145" s="207">
        <f t="shared" si="87"/>
        <v>2.3391812865497075</v>
      </c>
      <c r="T145" s="207">
        <f t="shared" si="87"/>
        <v>0.58479532163742687</v>
      </c>
      <c r="U145" s="207">
        <f t="shared" si="87"/>
        <v>6.4327485380116958</v>
      </c>
      <c r="V145" s="207">
        <f t="shared" si="87"/>
        <v>0.58479532163742687</v>
      </c>
      <c r="W145" s="207">
        <f t="shared" si="87"/>
        <v>2.9239766081871341</v>
      </c>
      <c r="X145" s="207">
        <f t="shared" si="87"/>
        <v>0.58479532163742687</v>
      </c>
      <c r="Y145" s="207">
        <f t="shared" si="87"/>
        <v>1.7543859649122806</v>
      </c>
      <c r="Z145" s="207">
        <f t="shared" si="87"/>
        <v>7.6023391812865491</v>
      </c>
      <c r="AA145" s="207">
        <f t="shared" si="87"/>
        <v>2.3391812865497075</v>
      </c>
      <c r="AB145" s="207">
        <f t="shared" si="87"/>
        <v>19.883040935672515</v>
      </c>
      <c r="AC145" s="207">
        <f t="shared" si="87"/>
        <v>16.959064327485379</v>
      </c>
      <c r="AD145" s="207">
        <f t="shared" si="87"/>
        <v>6.4327485380116958</v>
      </c>
      <c r="AE145" s="207">
        <f t="shared" si="87"/>
        <v>8.1871345029239766</v>
      </c>
      <c r="AF145" s="207">
        <f t="shared" si="87"/>
        <v>8.7719298245614024</v>
      </c>
      <c r="AG145" s="207">
        <f t="shared" si="87"/>
        <v>8.1871345029239766</v>
      </c>
      <c r="AH145" s="207">
        <f t="shared" si="87"/>
        <v>1.1695906432748537</v>
      </c>
      <c r="AI145" s="207">
        <f t="shared" si="87"/>
        <v>2.9239766081871341</v>
      </c>
      <c r="AJ145" s="207">
        <f t="shared" si="87"/>
        <v>5.2631578947368416</v>
      </c>
      <c r="AK145" s="207">
        <f t="shared" si="87"/>
        <v>2.9239766081871341</v>
      </c>
      <c r="AL145" s="207">
        <f t="shared" si="87"/>
        <v>3.5087719298245612</v>
      </c>
      <c r="AM145" s="208"/>
      <c r="AN145" s="195"/>
    </row>
    <row r="146" spans="1:41" ht="13.5" customHeight="1" x14ac:dyDescent="0.2">
      <c r="A146" s="271" t="str">
        <f>'問9S（表）'!A76</f>
        <v>正規の従業員・職員(n = 423 )　　</v>
      </c>
      <c r="B146" s="34">
        <f>'問9S（表）'!B76</f>
        <v>423</v>
      </c>
      <c r="C146" s="31">
        <v>118</v>
      </c>
      <c r="D146" s="32">
        <v>51</v>
      </c>
      <c r="E146" s="32">
        <v>17</v>
      </c>
      <c r="F146" s="32">
        <v>41</v>
      </c>
      <c r="G146" s="32">
        <v>10</v>
      </c>
      <c r="H146" s="32">
        <v>63</v>
      </c>
      <c r="I146" s="32">
        <v>38</v>
      </c>
      <c r="J146" s="32">
        <v>77</v>
      </c>
      <c r="K146" s="32">
        <v>34</v>
      </c>
      <c r="L146" s="32">
        <v>17</v>
      </c>
      <c r="M146" s="32">
        <v>4</v>
      </c>
      <c r="N146" s="32">
        <v>62</v>
      </c>
      <c r="O146" s="32">
        <v>24</v>
      </c>
      <c r="P146" s="32">
        <v>16</v>
      </c>
      <c r="Q146" s="32">
        <v>67</v>
      </c>
      <c r="R146" s="32">
        <v>20</v>
      </c>
      <c r="S146" s="32">
        <v>12</v>
      </c>
      <c r="T146" s="32">
        <v>9</v>
      </c>
      <c r="U146" s="32">
        <v>46</v>
      </c>
      <c r="V146" s="32">
        <v>11</v>
      </c>
      <c r="W146" s="32">
        <v>3</v>
      </c>
      <c r="X146" s="32">
        <v>2</v>
      </c>
      <c r="Y146" s="32">
        <v>7</v>
      </c>
      <c r="Z146" s="32">
        <v>15</v>
      </c>
      <c r="AA146" s="32">
        <v>7</v>
      </c>
      <c r="AB146" s="32">
        <v>84</v>
      </c>
      <c r="AC146" s="32">
        <v>58</v>
      </c>
      <c r="AD146" s="32">
        <v>20</v>
      </c>
      <c r="AE146" s="32">
        <v>23</v>
      </c>
      <c r="AF146" s="32">
        <v>43</v>
      </c>
      <c r="AG146" s="32">
        <v>46</v>
      </c>
      <c r="AH146" s="32">
        <v>12</v>
      </c>
      <c r="AI146" s="32">
        <v>23</v>
      </c>
      <c r="AJ146" s="32">
        <v>35</v>
      </c>
      <c r="AK146" s="32">
        <v>8</v>
      </c>
      <c r="AL146" s="32">
        <v>12</v>
      </c>
      <c r="AM146" s="33"/>
      <c r="AN146" s="5">
        <f>SUM($C146:AM146)</f>
        <v>1135</v>
      </c>
      <c r="AO146" t="str">
        <f>" 正規の従業員・職員（ n = "&amp;B146&amp;"）"</f>
        <v xml:space="preserve"> 正規の従業員・職員（ n = 423）</v>
      </c>
    </row>
    <row r="147" spans="1:41" x14ac:dyDescent="0.2">
      <c r="A147" s="272"/>
      <c r="B147" s="35">
        <f>'問9S（表）'!B77</f>
        <v>26.175742574257427</v>
      </c>
      <c r="C147" s="20">
        <f t="shared" ref="C147:AL147" si="88">C146/$B$146*100</f>
        <v>27.895981087470449</v>
      </c>
      <c r="D147" s="207">
        <f t="shared" si="88"/>
        <v>12.056737588652481</v>
      </c>
      <c r="E147" s="207">
        <f t="shared" si="88"/>
        <v>4.0189125295508275</v>
      </c>
      <c r="F147" s="207">
        <f t="shared" si="88"/>
        <v>9.6926713947990546</v>
      </c>
      <c r="G147" s="207">
        <f t="shared" si="88"/>
        <v>2.3640661938534278</v>
      </c>
      <c r="H147" s="207">
        <f t="shared" si="88"/>
        <v>14.893617021276595</v>
      </c>
      <c r="I147" s="207">
        <f t="shared" si="88"/>
        <v>8.9834515366430256</v>
      </c>
      <c r="J147" s="207">
        <f t="shared" si="88"/>
        <v>18.203309692671397</v>
      </c>
      <c r="K147" s="207">
        <f t="shared" si="88"/>
        <v>8.0378250591016549</v>
      </c>
      <c r="L147" s="207">
        <f t="shared" si="88"/>
        <v>4.0189125295508275</v>
      </c>
      <c r="M147" s="207">
        <f t="shared" si="88"/>
        <v>0.94562647754137119</v>
      </c>
      <c r="N147" s="207">
        <f t="shared" si="88"/>
        <v>14.657210401891252</v>
      </c>
      <c r="O147" s="207">
        <f t="shared" si="88"/>
        <v>5.6737588652482271</v>
      </c>
      <c r="P147" s="207">
        <f t="shared" si="88"/>
        <v>3.7825059101654848</v>
      </c>
      <c r="Q147" s="207">
        <f t="shared" si="88"/>
        <v>15.839243498817968</v>
      </c>
      <c r="R147" s="207">
        <f t="shared" si="88"/>
        <v>4.7281323877068555</v>
      </c>
      <c r="S147" s="207">
        <f t="shared" si="88"/>
        <v>2.8368794326241136</v>
      </c>
      <c r="T147" s="207">
        <f t="shared" si="88"/>
        <v>2.1276595744680851</v>
      </c>
      <c r="U147" s="207">
        <f t="shared" si="88"/>
        <v>10.874704491725769</v>
      </c>
      <c r="V147" s="207">
        <f t="shared" si="88"/>
        <v>2.6004728132387704</v>
      </c>
      <c r="W147" s="207">
        <f t="shared" si="88"/>
        <v>0.70921985815602839</v>
      </c>
      <c r="X147" s="207">
        <f t="shared" si="88"/>
        <v>0.4728132387706856</v>
      </c>
      <c r="Y147" s="207">
        <f t="shared" si="88"/>
        <v>1.6548463356973995</v>
      </c>
      <c r="Z147" s="207">
        <f t="shared" si="88"/>
        <v>3.5460992907801421</v>
      </c>
      <c r="AA147" s="207">
        <f t="shared" si="88"/>
        <v>1.6548463356973995</v>
      </c>
      <c r="AB147" s="207">
        <f t="shared" si="88"/>
        <v>19.858156028368796</v>
      </c>
      <c r="AC147" s="207">
        <f t="shared" si="88"/>
        <v>13.711583924349883</v>
      </c>
      <c r="AD147" s="207">
        <f t="shared" si="88"/>
        <v>4.7281323877068555</v>
      </c>
      <c r="AE147" s="207">
        <f t="shared" si="88"/>
        <v>5.4373522458628845</v>
      </c>
      <c r="AF147" s="207">
        <f t="shared" si="88"/>
        <v>10.16548463356974</v>
      </c>
      <c r="AG147" s="207">
        <f t="shared" si="88"/>
        <v>10.874704491725769</v>
      </c>
      <c r="AH147" s="207">
        <f t="shared" si="88"/>
        <v>2.8368794326241136</v>
      </c>
      <c r="AI147" s="207">
        <f t="shared" si="88"/>
        <v>5.4373522458628845</v>
      </c>
      <c r="AJ147" s="207">
        <f t="shared" si="88"/>
        <v>8.2742316784869967</v>
      </c>
      <c r="AK147" s="207">
        <f t="shared" si="88"/>
        <v>1.8912529550827424</v>
      </c>
      <c r="AL147" s="207">
        <f t="shared" si="88"/>
        <v>2.8368794326241136</v>
      </c>
      <c r="AM147" s="208"/>
      <c r="AN147" s="195"/>
    </row>
    <row r="148" spans="1:41" ht="13.5" customHeight="1" x14ac:dyDescent="0.2">
      <c r="A148" s="265" t="str">
        <f>'問9S（表）'!A78</f>
        <v>パートタイム・アルバイト・派遣(n = 346 )　　</v>
      </c>
      <c r="B148" s="34">
        <f>'問9S（表）'!B78</f>
        <v>346</v>
      </c>
      <c r="C148" s="31">
        <v>89</v>
      </c>
      <c r="D148" s="32">
        <v>51</v>
      </c>
      <c r="E148" s="32">
        <v>12</v>
      </c>
      <c r="F148" s="32">
        <v>36</v>
      </c>
      <c r="G148" s="32">
        <v>7</v>
      </c>
      <c r="H148" s="32">
        <v>50</v>
      </c>
      <c r="I148" s="32">
        <v>26</v>
      </c>
      <c r="J148" s="32">
        <v>56</v>
      </c>
      <c r="K148" s="32">
        <v>46</v>
      </c>
      <c r="L148" s="32">
        <v>23</v>
      </c>
      <c r="M148" s="32">
        <v>4</v>
      </c>
      <c r="N148" s="32">
        <v>58</v>
      </c>
      <c r="O148" s="32">
        <v>16</v>
      </c>
      <c r="P148" s="32">
        <v>7</v>
      </c>
      <c r="Q148" s="32">
        <v>61</v>
      </c>
      <c r="R148" s="32">
        <v>11</v>
      </c>
      <c r="S148" s="32">
        <v>16</v>
      </c>
      <c r="T148" s="32">
        <v>10</v>
      </c>
      <c r="U148" s="32">
        <v>34</v>
      </c>
      <c r="V148" s="32">
        <v>14</v>
      </c>
      <c r="W148" s="32">
        <v>3</v>
      </c>
      <c r="X148" s="32">
        <v>1</v>
      </c>
      <c r="Y148" s="32">
        <v>5</v>
      </c>
      <c r="Z148" s="32">
        <v>16</v>
      </c>
      <c r="AA148" s="32">
        <v>3</v>
      </c>
      <c r="AB148" s="32">
        <v>58</v>
      </c>
      <c r="AC148" s="32">
        <v>52</v>
      </c>
      <c r="AD148" s="32">
        <v>18</v>
      </c>
      <c r="AE148" s="32">
        <v>21</v>
      </c>
      <c r="AF148" s="32">
        <v>36</v>
      </c>
      <c r="AG148" s="32">
        <v>28</v>
      </c>
      <c r="AH148" s="32">
        <v>20</v>
      </c>
      <c r="AI148" s="32">
        <v>27</v>
      </c>
      <c r="AJ148" s="32">
        <v>26</v>
      </c>
      <c r="AK148" s="32">
        <v>4</v>
      </c>
      <c r="AL148" s="32">
        <v>14</v>
      </c>
      <c r="AM148" s="33"/>
      <c r="AN148" s="5">
        <f>SUM($C148:AM148)</f>
        <v>959</v>
      </c>
      <c r="AO148" t="str">
        <f>" パートタイム・アルバイト・派遣（ n = "&amp;B148&amp;"）"</f>
        <v xml:space="preserve"> パートタイム・アルバイト・派遣（ n = 346）</v>
      </c>
    </row>
    <row r="149" spans="1:41" x14ac:dyDescent="0.2">
      <c r="A149" s="266"/>
      <c r="B149" s="35">
        <f>'問9S（表）'!B79</f>
        <v>21.410891089108912</v>
      </c>
      <c r="C149" s="20">
        <f t="shared" ref="C149:AL149" si="89">C148/$B$148*100</f>
        <v>25.722543352601157</v>
      </c>
      <c r="D149" s="207">
        <f t="shared" si="89"/>
        <v>14.739884393063585</v>
      </c>
      <c r="E149" s="207">
        <f t="shared" si="89"/>
        <v>3.4682080924855487</v>
      </c>
      <c r="F149" s="207">
        <f t="shared" si="89"/>
        <v>10.404624277456648</v>
      </c>
      <c r="G149" s="207">
        <f t="shared" si="89"/>
        <v>2.0231213872832372</v>
      </c>
      <c r="H149" s="207">
        <f t="shared" si="89"/>
        <v>14.450867052023122</v>
      </c>
      <c r="I149" s="207">
        <f t="shared" si="89"/>
        <v>7.5144508670520231</v>
      </c>
      <c r="J149" s="207">
        <f t="shared" si="89"/>
        <v>16.184971098265898</v>
      </c>
      <c r="K149" s="207">
        <f t="shared" si="89"/>
        <v>13.294797687861271</v>
      </c>
      <c r="L149" s="207">
        <f t="shared" si="89"/>
        <v>6.6473988439306355</v>
      </c>
      <c r="M149" s="207">
        <f t="shared" si="89"/>
        <v>1.1560693641618496</v>
      </c>
      <c r="N149" s="207">
        <f t="shared" si="89"/>
        <v>16.76300578034682</v>
      </c>
      <c r="O149" s="207">
        <f t="shared" si="89"/>
        <v>4.6242774566473983</v>
      </c>
      <c r="P149" s="207">
        <f t="shared" si="89"/>
        <v>2.0231213872832372</v>
      </c>
      <c r="Q149" s="207">
        <f t="shared" si="89"/>
        <v>17.630057803468208</v>
      </c>
      <c r="R149" s="207">
        <f t="shared" si="89"/>
        <v>3.1791907514450863</v>
      </c>
      <c r="S149" s="207">
        <f t="shared" si="89"/>
        <v>4.6242774566473983</v>
      </c>
      <c r="T149" s="207">
        <f t="shared" si="89"/>
        <v>2.8901734104046244</v>
      </c>
      <c r="U149" s="207">
        <f t="shared" si="89"/>
        <v>9.8265895953757223</v>
      </c>
      <c r="V149" s="207">
        <f t="shared" si="89"/>
        <v>4.0462427745664744</v>
      </c>
      <c r="W149" s="207">
        <f t="shared" si="89"/>
        <v>0.86705202312138718</v>
      </c>
      <c r="X149" s="207">
        <f t="shared" si="89"/>
        <v>0.28901734104046239</v>
      </c>
      <c r="Y149" s="207">
        <f t="shared" si="89"/>
        <v>1.4450867052023122</v>
      </c>
      <c r="Z149" s="207">
        <f t="shared" si="89"/>
        <v>4.6242774566473983</v>
      </c>
      <c r="AA149" s="207">
        <f t="shared" si="89"/>
        <v>0.86705202312138718</v>
      </c>
      <c r="AB149" s="207">
        <f t="shared" si="89"/>
        <v>16.76300578034682</v>
      </c>
      <c r="AC149" s="207">
        <f t="shared" si="89"/>
        <v>15.028901734104046</v>
      </c>
      <c r="AD149" s="207">
        <f t="shared" si="89"/>
        <v>5.202312138728324</v>
      </c>
      <c r="AE149" s="207">
        <f t="shared" si="89"/>
        <v>6.0693641618497107</v>
      </c>
      <c r="AF149" s="207">
        <f t="shared" si="89"/>
        <v>10.404624277456648</v>
      </c>
      <c r="AG149" s="207">
        <f t="shared" si="89"/>
        <v>8.0924855491329488</v>
      </c>
      <c r="AH149" s="207">
        <f t="shared" si="89"/>
        <v>5.7803468208092488</v>
      </c>
      <c r="AI149" s="207">
        <f t="shared" si="89"/>
        <v>7.803468208092486</v>
      </c>
      <c r="AJ149" s="207">
        <f t="shared" si="89"/>
        <v>7.5144508670520231</v>
      </c>
      <c r="AK149" s="207">
        <f t="shared" si="89"/>
        <v>1.1560693641618496</v>
      </c>
      <c r="AL149" s="207">
        <f t="shared" si="89"/>
        <v>4.0462427745664744</v>
      </c>
      <c r="AM149" s="208"/>
      <c r="AN149" s="237"/>
    </row>
    <row r="150" spans="1:41" ht="13.5" customHeight="1" x14ac:dyDescent="0.2">
      <c r="A150" s="269" t="str">
        <f>'問9S（表）'!A80</f>
        <v>学生(n = 44 )　　</v>
      </c>
      <c r="B150" s="34">
        <f>'問9S（表）'!B80</f>
        <v>44</v>
      </c>
      <c r="C150" s="31">
        <v>16</v>
      </c>
      <c r="D150" s="32">
        <v>5</v>
      </c>
      <c r="E150" s="32">
        <v>1</v>
      </c>
      <c r="F150" s="32">
        <v>3</v>
      </c>
      <c r="G150" s="32">
        <v>1</v>
      </c>
      <c r="H150" s="32">
        <v>10</v>
      </c>
      <c r="I150" s="32">
        <v>6</v>
      </c>
      <c r="J150" s="32">
        <v>6</v>
      </c>
      <c r="K150" s="32">
        <v>3</v>
      </c>
      <c r="L150" s="32">
        <v>1</v>
      </c>
      <c r="M150" s="32">
        <v>2</v>
      </c>
      <c r="N150" s="32">
        <v>5</v>
      </c>
      <c r="O150" s="32">
        <v>4</v>
      </c>
      <c r="P150" s="32">
        <v>0</v>
      </c>
      <c r="Q150" s="32">
        <v>4</v>
      </c>
      <c r="R150" s="32">
        <v>1</v>
      </c>
      <c r="S150" s="32">
        <v>0</v>
      </c>
      <c r="T150" s="32">
        <v>2</v>
      </c>
      <c r="U150" s="32">
        <v>7</v>
      </c>
      <c r="V150" s="32">
        <v>1</v>
      </c>
      <c r="W150" s="32">
        <v>1</v>
      </c>
      <c r="X150" s="32">
        <v>0</v>
      </c>
      <c r="Y150" s="32">
        <v>1</v>
      </c>
      <c r="Z150" s="32">
        <v>2</v>
      </c>
      <c r="AA150" s="32">
        <v>1</v>
      </c>
      <c r="AB150" s="32">
        <v>8</v>
      </c>
      <c r="AC150" s="32">
        <v>9</v>
      </c>
      <c r="AD150" s="32">
        <v>4</v>
      </c>
      <c r="AE150" s="32">
        <v>2</v>
      </c>
      <c r="AF150" s="32">
        <v>3</v>
      </c>
      <c r="AG150" s="32">
        <v>11</v>
      </c>
      <c r="AH150" s="32">
        <v>3</v>
      </c>
      <c r="AI150" s="32">
        <v>7</v>
      </c>
      <c r="AJ150" s="32">
        <v>1</v>
      </c>
      <c r="AK150" s="32">
        <v>0</v>
      </c>
      <c r="AL150" s="32">
        <v>2</v>
      </c>
      <c r="AM150" s="33"/>
      <c r="AN150" s="5">
        <f>SUM($C150:AM150)</f>
        <v>133</v>
      </c>
      <c r="AO150" t="str">
        <f>" 学生（ n = "&amp;B150&amp;"）"</f>
        <v xml:space="preserve"> 学生（ n = 44）</v>
      </c>
    </row>
    <row r="151" spans="1:41" x14ac:dyDescent="0.2">
      <c r="A151" s="270"/>
      <c r="B151" s="35">
        <f>'問9S（表）'!B81</f>
        <v>2.722772277227723</v>
      </c>
      <c r="C151" s="20">
        <f t="shared" ref="C151:AL151" si="90">C150/$B$150*100</f>
        <v>36.363636363636367</v>
      </c>
      <c r="D151" s="207">
        <f t="shared" si="90"/>
        <v>11.363636363636363</v>
      </c>
      <c r="E151" s="207">
        <f t="shared" si="90"/>
        <v>2.2727272727272729</v>
      </c>
      <c r="F151" s="207">
        <f t="shared" si="90"/>
        <v>6.8181818181818175</v>
      </c>
      <c r="G151" s="207">
        <f t="shared" si="90"/>
        <v>2.2727272727272729</v>
      </c>
      <c r="H151" s="207">
        <f t="shared" si="90"/>
        <v>22.727272727272727</v>
      </c>
      <c r="I151" s="207">
        <f t="shared" si="90"/>
        <v>13.636363636363635</v>
      </c>
      <c r="J151" s="207">
        <f t="shared" si="90"/>
        <v>13.636363636363635</v>
      </c>
      <c r="K151" s="207">
        <f t="shared" si="90"/>
        <v>6.8181818181818175</v>
      </c>
      <c r="L151" s="207">
        <f t="shared" si="90"/>
        <v>2.2727272727272729</v>
      </c>
      <c r="M151" s="207">
        <f t="shared" si="90"/>
        <v>4.5454545454545459</v>
      </c>
      <c r="N151" s="207">
        <f t="shared" si="90"/>
        <v>11.363636363636363</v>
      </c>
      <c r="O151" s="207">
        <f t="shared" si="90"/>
        <v>9.0909090909090917</v>
      </c>
      <c r="P151" s="207">
        <f t="shared" si="90"/>
        <v>0</v>
      </c>
      <c r="Q151" s="207">
        <f t="shared" si="90"/>
        <v>9.0909090909090917</v>
      </c>
      <c r="R151" s="207">
        <f t="shared" si="90"/>
        <v>2.2727272727272729</v>
      </c>
      <c r="S151" s="207">
        <f t="shared" si="90"/>
        <v>0</v>
      </c>
      <c r="T151" s="207">
        <f t="shared" si="90"/>
        <v>4.5454545454545459</v>
      </c>
      <c r="U151" s="207">
        <f t="shared" si="90"/>
        <v>15.909090909090908</v>
      </c>
      <c r="V151" s="207">
        <f t="shared" si="90"/>
        <v>2.2727272727272729</v>
      </c>
      <c r="W151" s="207">
        <f t="shared" si="90"/>
        <v>2.2727272727272729</v>
      </c>
      <c r="X151" s="207">
        <f t="shared" si="90"/>
        <v>0</v>
      </c>
      <c r="Y151" s="207">
        <f t="shared" si="90"/>
        <v>2.2727272727272729</v>
      </c>
      <c r="Z151" s="207">
        <f t="shared" si="90"/>
        <v>4.5454545454545459</v>
      </c>
      <c r="AA151" s="207">
        <f t="shared" si="90"/>
        <v>2.2727272727272729</v>
      </c>
      <c r="AB151" s="207">
        <f t="shared" si="90"/>
        <v>18.181818181818183</v>
      </c>
      <c r="AC151" s="207">
        <f t="shared" si="90"/>
        <v>20.454545454545457</v>
      </c>
      <c r="AD151" s="207">
        <f t="shared" si="90"/>
        <v>9.0909090909090917</v>
      </c>
      <c r="AE151" s="207">
        <f t="shared" si="90"/>
        <v>4.5454545454545459</v>
      </c>
      <c r="AF151" s="207">
        <f t="shared" si="90"/>
        <v>6.8181818181818175</v>
      </c>
      <c r="AG151" s="207">
        <f t="shared" si="90"/>
        <v>25</v>
      </c>
      <c r="AH151" s="207">
        <f t="shared" si="90"/>
        <v>6.8181818181818175</v>
      </c>
      <c r="AI151" s="207">
        <f t="shared" si="90"/>
        <v>15.909090909090908</v>
      </c>
      <c r="AJ151" s="207">
        <f t="shared" si="90"/>
        <v>2.2727272727272729</v>
      </c>
      <c r="AK151" s="207">
        <f t="shared" si="90"/>
        <v>0</v>
      </c>
      <c r="AL151" s="207">
        <f t="shared" si="90"/>
        <v>4.5454545454545459</v>
      </c>
      <c r="AM151" s="208"/>
      <c r="AN151" s="195"/>
    </row>
    <row r="152" spans="1:41" ht="13.5" customHeight="1" x14ac:dyDescent="0.2">
      <c r="A152" s="269" t="str">
        <f>'問9S（表）'!A82</f>
        <v>家事従事(n = 150 )　　</v>
      </c>
      <c r="B152" s="34">
        <f>'問9S（表）'!B82</f>
        <v>150</v>
      </c>
      <c r="C152" s="31">
        <v>36</v>
      </c>
      <c r="D152" s="32">
        <v>22</v>
      </c>
      <c r="E152" s="32">
        <v>3</v>
      </c>
      <c r="F152" s="32">
        <v>22</v>
      </c>
      <c r="G152" s="32">
        <v>2</v>
      </c>
      <c r="H152" s="32">
        <v>19</v>
      </c>
      <c r="I152" s="32">
        <v>12</v>
      </c>
      <c r="J152" s="32">
        <v>26</v>
      </c>
      <c r="K152" s="32">
        <v>31</v>
      </c>
      <c r="L152" s="32">
        <v>10</v>
      </c>
      <c r="M152" s="32">
        <v>1</v>
      </c>
      <c r="N152" s="32">
        <v>22</v>
      </c>
      <c r="O152" s="32">
        <v>11</v>
      </c>
      <c r="P152" s="32">
        <v>1</v>
      </c>
      <c r="Q152" s="32">
        <v>29</v>
      </c>
      <c r="R152" s="32">
        <v>3</v>
      </c>
      <c r="S152" s="32">
        <v>4</v>
      </c>
      <c r="T152" s="32">
        <v>4</v>
      </c>
      <c r="U152" s="32">
        <v>16</v>
      </c>
      <c r="V152" s="32">
        <v>5</v>
      </c>
      <c r="W152" s="32">
        <v>1</v>
      </c>
      <c r="X152" s="32">
        <v>0</v>
      </c>
      <c r="Y152" s="32">
        <v>1</v>
      </c>
      <c r="Z152" s="32">
        <v>5</v>
      </c>
      <c r="AA152" s="32">
        <v>2</v>
      </c>
      <c r="AB152" s="32">
        <v>15</v>
      </c>
      <c r="AC152" s="32">
        <v>12</v>
      </c>
      <c r="AD152" s="32">
        <v>3</v>
      </c>
      <c r="AE152" s="32">
        <v>5</v>
      </c>
      <c r="AF152" s="32">
        <v>11</v>
      </c>
      <c r="AG152" s="32">
        <v>10</v>
      </c>
      <c r="AH152" s="32">
        <v>10</v>
      </c>
      <c r="AI152" s="32">
        <v>7</v>
      </c>
      <c r="AJ152" s="32">
        <v>12</v>
      </c>
      <c r="AK152" s="32">
        <v>1</v>
      </c>
      <c r="AL152" s="32">
        <v>3</v>
      </c>
      <c r="AM152" s="33"/>
      <c r="AN152" s="5">
        <f>SUM($C152:AM152)</f>
        <v>377</v>
      </c>
      <c r="AO152" t="str">
        <f>" 家事従事（ n = "&amp;B152&amp;"）"</f>
        <v xml:space="preserve"> 家事従事（ n = 150）</v>
      </c>
    </row>
    <row r="153" spans="1:41" x14ac:dyDescent="0.2">
      <c r="A153" s="270"/>
      <c r="B153" s="35">
        <f>'問9S（表）'!B83</f>
        <v>9.282178217821782</v>
      </c>
      <c r="C153" s="20">
        <f t="shared" ref="C153:AL153" si="91">C152/$B$152*100</f>
        <v>24</v>
      </c>
      <c r="D153" s="207">
        <f t="shared" si="91"/>
        <v>14.666666666666666</v>
      </c>
      <c r="E153" s="207">
        <f t="shared" si="91"/>
        <v>2</v>
      </c>
      <c r="F153" s="207">
        <f t="shared" si="91"/>
        <v>14.666666666666666</v>
      </c>
      <c r="G153" s="207">
        <f t="shared" si="91"/>
        <v>1.3333333333333335</v>
      </c>
      <c r="H153" s="207">
        <f t="shared" si="91"/>
        <v>12.666666666666668</v>
      </c>
      <c r="I153" s="207">
        <f t="shared" si="91"/>
        <v>8</v>
      </c>
      <c r="J153" s="207">
        <f t="shared" si="91"/>
        <v>17.333333333333336</v>
      </c>
      <c r="K153" s="207">
        <f t="shared" si="91"/>
        <v>20.666666666666668</v>
      </c>
      <c r="L153" s="207">
        <f t="shared" si="91"/>
        <v>6.666666666666667</v>
      </c>
      <c r="M153" s="207">
        <f t="shared" si="91"/>
        <v>0.66666666666666674</v>
      </c>
      <c r="N153" s="207">
        <f t="shared" si="91"/>
        <v>14.666666666666666</v>
      </c>
      <c r="O153" s="207">
        <f t="shared" si="91"/>
        <v>7.333333333333333</v>
      </c>
      <c r="P153" s="207">
        <f t="shared" si="91"/>
        <v>0.66666666666666674</v>
      </c>
      <c r="Q153" s="207">
        <f t="shared" si="91"/>
        <v>19.333333333333332</v>
      </c>
      <c r="R153" s="207">
        <f t="shared" si="91"/>
        <v>2</v>
      </c>
      <c r="S153" s="207">
        <f t="shared" si="91"/>
        <v>2.666666666666667</v>
      </c>
      <c r="T153" s="207">
        <f t="shared" si="91"/>
        <v>2.666666666666667</v>
      </c>
      <c r="U153" s="207">
        <f t="shared" si="91"/>
        <v>10.666666666666668</v>
      </c>
      <c r="V153" s="207">
        <f t="shared" si="91"/>
        <v>3.3333333333333335</v>
      </c>
      <c r="W153" s="207">
        <f t="shared" si="91"/>
        <v>0.66666666666666674</v>
      </c>
      <c r="X153" s="207">
        <f t="shared" si="91"/>
        <v>0</v>
      </c>
      <c r="Y153" s="207">
        <f t="shared" si="91"/>
        <v>0.66666666666666674</v>
      </c>
      <c r="Z153" s="207">
        <f t="shared" si="91"/>
        <v>3.3333333333333335</v>
      </c>
      <c r="AA153" s="207">
        <f t="shared" si="91"/>
        <v>1.3333333333333335</v>
      </c>
      <c r="AB153" s="207">
        <f t="shared" si="91"/>
        <v>10</v>
      </c>
      <c r="AC153" s="207">
        <f t="shared" si="91"/>
        <v>8</v>
      </c>
      <c r="AD153" s="207">
        <f t="shared" si="91"/>
        <v>2</v>
      </c>
      <c r="AE153" s="207">
        <f t="shared" si="91"/>
        <v>3.3333333333333335</v>
      </c>
      <c r="AF153" s="207">
        <f t="shared" si="91"/>
        <v>7.333333333333333</v>
      </c>
      <c r="AG153" s="207">
        <f t="shared" si="91"/>
        <v>6.666666666666667</v>
      </c>
      <c r="AH153" s="207">
        <f t="shared" si="91"/>
        <v>6.666666666666667</v>
      </c>
      <c r="AI153" s="207">
        <f t="shared" si="91"/>
        <v>4.666666666666667</v>
      </c>
      <c r="AJ153" s="207">
        <f t="shared" si="91"/>
        <v>8</v>
      </c>
      <c r="AK153" s="207">
        <f t="shared" si="91"/>
        <v>0.66666666666666674</v>
      </c>
      <c r="AL153" s="207">
        <f t="shared" si="91"/>
        <v>2</v>
      </c>
      <c r="AM153" s="208"/>
      <c r="AN153" s="195"/>
    </row>
    <row r="154" spans="1:41" ht="13.5" customHeight="1" x14ac:dyDescent="0.2">
      <c r="A154" s="269" t="str">
        <f>'問9S（表）'!A84</f>
        <v>無職(n = 263 )　　</v>
      </c>
      <c r="B154" s="34">
        <f>'問9S（表）'!B84</f>
        <v>263</v>
      </c>
      <c r="C154" s="31">
        <v>67</v>
      </c>
      <c r="D154" s="32">
        <v>20</v>
      </c>
      <c r="E154" s="32">
        <v>7</v>
      </c>
      <c r="F154" s="32">
        <v>42</v>
      </c>
      <c r="G154" s="32">
        <v>5</v>
      </c>
      <c r="H154" s="32">
        <v>38</v>
      </c>
      <c r="I154" s="32">
        <v>21</v>
      </c>
      <c r="J154" s="32">
        <v>60</v>
      </c>
      <c r="K154" s="32">
        <v>36</v>
      </c>
      <c r="L154" s="32">
        <v>16</v>
      </c>
      <c r="M154" s="32">
        <v>2</v>
      </c>
      <c r="N154" s="32">
        <v>60</v>
      </c>
      <c r="O154" s="32">
        <v>17</v>
      </c>
      <c r="P154" s="32">
        <v>3</v>
      </c>
      <c r="Q154" s="32">
        <v>33</v>
      </c>
      <c r="R154" s="32">
        <v>5</v>
      </c>
      <c r="S154" s="32">
        <v>9</v>
      </c>
      <c r="T154" s="32">
        <v>6</v>
      </c>
      <c r="U154" s="32">
        <v>32</v>
      </c>
      <c r="V154" s="32">
        <v>4</v>
      </c>
      <c r="W154" s="32">
        <v>3</v>
      </c>
      <c r="X154" s="32">
        <v>6</v>
      </c>
      <c r="Y154" s="32">
        <v>2</v>
      </c>
      <c r="Z154" s="32">
        <v>10</v>
      </c>
      <c r="AA154" s="32">
        <v>3</v>
      </c>
      <c r="AB154" s="32">
        <v>51</v>
      </c>
      <c r="AC154" s="32">
        <v>29</v>
      </c>
      <c r="AD154" s="32">
        <v>11</v>
      </c>
      <c r="AE154" s="32">
        <v>18</v>
      </c>
      <c r="AF154" s="32">
        <v>15</v>
      </c>
      <c r="AG154" s="32">
        <v>16</v>
      </c>
      <c r="AH154" s="32">
        <v>8</v>
      </c>
      <c r="AI154" s="32">
        <v>15</v>
      </c>
      <c r="AJ154" s="32">
        <v>21</v>
      </c>
      <c r="AK154" s="32">
        <v>8</v>
      </c>
      <c r="AL154" s="32">
        <v>6</v>
      </c>
      <c r="AM154" s="33"/>
      <c r="AN154" s="5">
        <f>SUM($C154:AM154)</f>
        <v>705</v>
      </c>
      <c r="AO154" t="str">
        <f>" 無職（ n = "&amp;B154&amp;"）"</f>
        <v xml:space="preserve"> 無職（ n = 263）</v>
      </c>
    </row>
    <row r="155" spans="1:41" x14ac:dyDescent="0.2">
      <c r="A155" s="270"/>
      <c r="B155" s="35">
        <f>'問9S（表）'!B85</f>
        <v>16.274752475247524</v>
      </c>
      <c r="C155" s="20">
        <f t="shared" ref="C155:AL155" si="92">C154/$B$154*100</f>
        <v>25.475285171102662</v>
      </c>
      <c r="D155" s="207">
        <f t="shared" si="92"/>
        <v>7.6045627376425857</v>
      </c>
      <c r="E155" s="207">
        <f t="shared" si="92"/>
        <v>2.6615969581749046</v>
      </c>
      <c r="F155" s="207">
        <f t="shared" si="92"/>
        <v>15.96958174904943</v>
      </c>
      <c r="G155" s="207">
        <f t="shared" si="92"/>
        <v>1.9011406844106464</v>
      </c>
      <c r="H155" s="207">
        <f t="shared" si="92"/>
        <v>14.448669201520911</v>
      </c>
      <c r="I155" s="207">
        <f t="shared" si="92"/>
        <v>7.9847908745247151</v>
      </c>
      <c r="J155" s="207">
        <f t="shared" si="92"/>
        <v>22.813688212927758</v>
      </c>
      <c r="K155" s="207">
        <f t="shared" si="92"/>
        <v>13.688212927756654</v>
      </c>
      <c r="L155" s="207">
        <f t="shared" si="92"/>
        <v>6.083650190114068</v>
      </c>
      <c r="M155" s="207">
        <f t="shared" si="92"/>
        <v>0.76045627376425851</v>
      </c>
      <c r="N155" s="207">
        <f t="shared" si="92"/>
        <v>22.813688212927758</v>
      </c>
      <c r="O155" s="207">
        <f t="shared" si="92"/>
        <v>6.4638783269961975</v>
      </c>
      <c r="P155" s="207">
        <f t="shared" si="92"/>
        <v>1.1406844106463878</v>
      </c>
      <c r="Q155" s="207">
        <f t="shared" si="92"/>
        <v>12.547528517110266</v>
      </c>
      <c r="R155" s="207">
        <f t="shared" si="92"/>
        <v>1.9011406844106464</v>
      </c>
      <c r="S155" s="207">
        <f t="shared" si="92"/>
        <v>3.4220532319391634</v>
      </c>
      <c r="T155" s="207">
        <f t="shared" si="92"/>
        <v>2.2813688212927756</v>
      </c>
      <c r="U155" s="207">
        <f t="shared" si="92"/>
        <v>12.167300380228136</v>
      </c>
      <c r="V155" s="207">
        <f t="shared" si="92"/>
        <v>1.520912547528517</v>
      </c>
      <c r="W155" s="207">
        <f t="shared" si="92"/>
        <v>1.1406844106463878</v>
      </c>
      <c r="X155" s="207">
        <f t="shared" si="92"/>
        <v>2.2813688212927756</v>
      </c>
      <c r="Y155" s="207">
        <f t="shared" si="92"/>
        <v>0.76045627376425851</v>
      </c>
      <c r="Z155" s="207">
        <f t="shared" si="92"/>
        <v>3.8022813688212929</v>
      </c>
      <c r="AA155" s="207">
        <f t="shared" si="92"/>
        <v>1.1406844106463878</v>
      </c>
      <c r="AB155" s="207">
        <f t="shared" si="92"/>
        <v>19.391634980988592</v>
      </c>
      <c r="AC155" s="207">
        <f t="shared" si="92"/>
        <v>11.02661596958175</v>
      </c>
      <c r="AD155" s="207">
        <f t="shared" si="92"/>
        <v>4.1825095057034218</v>
      </c>
      <c r="AE155" s="207">
        <f t="shared" si="92"/>
        <v>6.8441064638783269</v>
      </c>
      <c r="AF155" s="207">
        <f t="shared" si="92"/>
        <v>5.7034220532319395</v>
      </c>
      <c r="AG155" s="207">
        <f t="shared" si="92"/>
        <v>6.083650190114068</v>
      </c>
      <c r="AH155" s="207">
        <f t="shared" si="92"/>
        <v>3.041825095057034</v>
      </c>
      <c r="AI155" s="207">
        <f t="shared" si="92"/>
        <v>5.7034220532319395</v>
      </c>
      <c r="AJ155" s="207">
        <f t="shared" si="92"/>
        <v>7.9847908745247151</v>
      </c>
      <c r="AK155" s="207">
        <f t="shared" si="92"/>
        <v>3.041825095057034</v>
      </c>
      <c r="AL155" s="207">
        <f t="shared" si="92"/>
        <v>2.2813688212927756</v>
      </c>
      <c r="AM155" s="208"/>
      <c r="AN155" s="195"/>
    </row>
    <row r="156" spans="1:41" x14ac:dyDescent="0.2">
      <c r="A156" s="269" t="str">
        <f>'問9S（表）'!A86</f>
        <v>その他(n = 18 )　　</v>
      </c>
      <c r="B156" s="34">
        <f>'問9S（表）'!B86</f>
        <v>18</v>
      </c>
      <c r="C156" s="31">
        <v>6</v>
      </c>
      <c r="D156" s="32">
        <v>0</v>
      </c>
      <c r="E156" s="32">
        <v>1</v>
      </c>
      <c r="F156" s="32">
        <v>6</v>
      </c>
      <c r="G156" s="32">
        <v>0</v>
      </c>
      <c r="H156" s="32">
        <v>1</v>
      </c>
      <c r="I156" s="32">
        <v>2</v>
      </c>
      <c r="J156" s="32">
        <v>1</v>
      </c>
      <c r="K156" s="32">
        <v>2</v>
      </c>
      <c r="L156" s="32">
        <v>2</v>
      </c>
      <c r="M156" s="32">
        <v>1</v>
      </c>
      <c r="N156" s="32">
        <v>4</v>
      </c>
      <c r="O156" s="32">
        <v>1</v>
      </c>
      <c r="P156" s="32">
        <v>1</v>
      </c>
      <c r="Q156" s="32">
        <v>1</v>
      </c>
      <c r="R156" s="32">
        <v>1</v>
      </c>
      <c r="S156" s="32">
        <v>0</v>
      </c>
      <c r="T156" s="32">
        <v>0</v>
      </c>
      <c r="U156" s="32">
        <v>5</v>
      </c>
      <c r="V156" s="32">
        <v>0</v>
      </c>
      <c r="W156" s="32">
        <v>0</v>
      </c>
      <c r="X156" s="32">
        <v>1</v>
      </c>
      <c r="Y156" s="32">
        <v>0</v>
      </c>
      <c r="Z156" s="32">
        <v>1</v>
      </c>
      <c r="AA156" s="32">
        <v>0</v>
      </c>
      <c r="AB156" s="32">
        <v>4</v>
      </c>
      <c r="AC156" s="32">
        <v>4</v>
      </c>
      <c r="AD156" s="32">
        <v>0</v>
      </c>
      <c r="AE156" s="32">
        <v>2</v>
      </c>
      <c r="AF156" s="32">
        <v>2</v>
      </c>
      <c r="AG156" s="32">
        <v>0</v>
      </c>
      <c r="AH156" s="32">
        <v>4</v>
      </c>
      <c r="AI156" s="32">
        <v>1</v>
      </c>
      <c r="AJ156" s="32">
        <v>2</v>
      </c>
      <c r="AK156" s="32">
        <v>1</v>
      </c>
      <c r="AL156" s="32">
        <v>0</v>
      </c>
      <c r="AM156" s="33"/>
      <c r="AN156" s="5">
        <f>SUM($C156:AM156)</f>
        <v>57</v>
      </c>
      <c r="AO156" t="str">
        <f>" その他（ n = "&amp;B156&amp;"）"</f>
        <v xml:space="preserve"> その他（ n = 18）</v>
      </c>
    </row>
    <row r="157" spans="1:41" x14ac:dyDescent="0.2">
      <c r="A157" s="270"/>
      <c r="B157" s="35">
        <f>'問9S（表）'!B87</f>
        <v>1.1138613861386137</v>
      </c>
      <c r="C157" s="20">
        <f t="shared" ref="C157:AL157" si="93">C156/$B$156*100</f>
        <v>33.333333333333329</v>
      </c>
      <c r="D157" s="207">
        <f t="shared" si="93"/>
        <v>0</v>
      </c>
      <c r="E157" s="207">
        <f t="shared" si="93"/>
        <v>5.5555555555555554</v>
      </c>
      <c r="F157" s="207">
        <f t="shared" si="93"/>
        <v>33.333333333333329</v>
      </c>
      <c r="G157" s="207">
        <f t="shared" si="93"/>
        <v>0</v>
      </c>
      <c r="H157" s="207">
        <f t="shared" si="93"/>
        <v>5.5555555555555554</v>
      </c>
      <c r="I157" s="207">
        <f t="shared" si="93"/>
        <v>11.111111111111111</v>
      </c>
      <c r="J157" s="207">
        <f t="shared" si="93"/>
        <v>5.5555555555555554</v>
      </c>
      <c r="K157" s="207">
        <f t="shared" si="93"/>
        <v>11.111111111111111</v>
      </c>
      <c r="L157" s="207">
        <f t="shared" si="93"/>
        <v>11.111111111111111</v>
      </c>
      <c r="M157" s="207">
        <f t="shared" si="93"/>
        <v>5.5555555555555554</v>
      </c>
      <c r="N157" s="207">
        <f t="shared" si="93"/>
        <v>22.222222222222221</v>
      </c>
      <c r="O157" s="207">
        <f t="shared" si="93"/>
        <v>5.5555555555555554</v>
      </c>
      <c r="P157" s="207">
        <f t="shared" si="93"/>
        <v>5.5555555555555554</v>
      </c>
      <c r="Q157" s="207">
        <f t="shared" si="93"/>
        <v>5.5555555555555554</v>
      </c>
      <c r="R157" s="207">
        <f t="shared" si="93"/>
        <v>5.5555555555555554</v>
      </c>
      <c r="S157" s="207">
        <f t="shared" si="93"/>
        <v>0</v>
      </c>
      <c r="T157" s="207">
        <f t="shared" si="93"/>
        <v>0</v>
      </c>
      <c r="U157" s="207">
        <f t="shared" si="93"/>
        <v>27.777777777777779</v>
      </c>
      <c r="V157" s="207">
        <f t="shared" si="93"/>
        <v>0</v>
      </c>
      <c r="W157" s="207">
        <f t="shared" si="93"/>
        <v>0</v>
      </c>
      <c r="X157" s="207">
        <f t="shared" si="93"/>
        <v>5.5555555555555554</v>
      </c>
      <c r="Y157" s="207">
        <f t="shared" si="93"/>
        <v>0</v>
      </c>
      <c r="Z157" s="207">
        <f t="shared" si="93"/>
        <v>5.5555555555555554</v>
      </c>
      <c r="AA157" s="207">
        <f t="shared" si="93"/>
        <v>0</v>
      </c>
      <c r="AB157" s="207">
        <f t="shared" si="93"/>
        <v>22.222222222222221</v>
      </c>
      <c r="AC157" s="207">
        <f t="shared" si="93"/>
        <v>22.222222222222221</v>
      </c>
      <c r="AD157" s="207">
        <f t="shared" si="93"/>
        <v>0</v>
      </c>
      <c r="AE157" s="207">
        <f t="shared" si="93"/>
        <v>11.111111111111111</v>
      </c>
      <c r="AF157" s="207">
        <f t="shared" si="93"/>
        <v>11.111111111111111</v>
      </c>
      <c r="AG157" s="207">
        <f t="shared" si="93"/>
        <v>0</v>
      </c>
      <c r="AH157" s="207">
        <f t="shared" si="93"/>
        <v>22.222222222222221</v>
      </c>
      <c r="AI157" s="207">
        <f t="shared" si="93"/>
        <v>5.5555555555555554</v>
      </c>
      <c r="AJ157" s="207">
        <f t="shared" si="93"/>
        <v>11.111111111111111</v>
      </c>
      <c r="AK157" s="207">
        <f t="shared" si="93"/>
        <v>5.5555555555555554</v>
      </c>
      <c r="AL157" s="207">
        <f t="shared" si="93"/>
        <v>0</v>
      </c>
      <c r="AM157" s="208"/>
      <c r="AN157" s="195"/>
      <c r="AO157" t="str">
        <f>" その他（ n = "&amp;B156+B142+B150&amp;"）"</f>
        <v xml:space="preserve"> その他（ n = 74）</v>
      </c>
    </row>
    <row r="158" spans="1:41" s="186" customFormat="1" x14ac:dyDescent="0.2">
      <c r="A158" s="184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</row>
    <row r="159" spans="1:41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195"/>
    </row>
    <row r="160" spans="1:41" x14ac:dyDescent="0.2">
      <c r="A160" s="6" t="s">
        <v>4</v>
      </c>
      <c r="B160" s="1"/>
      <c r="C160" s="238">
        <v>1</v>
      </c>
      <c r="D160" s="238">
        <v>2</v>
      </c>
      <c r="E160" s="238">
        <v>3</v>
      </c>
      <c r="F160" s="238">
        <v>4</v>
      </c>
      <c r="G160" s="238">
        <v>5</v>
      </c>
      <c r="H160" s="238">
        <v>6</v>
      </c>
      <c r="I160" s="238">
        <v>7</v>
      </c>
      <c r="J160" s="238">
        <v>8</v>
      </c>
      <c r="K160" s="238">
        <v>9</v>
      </c>
      <c r="L160" s="238">
        <v>10</v>
      </c>
      <c r="M160" s="238">
        <v>11</v>
      </c>
      <c r="N160" s="238">
        <v>12</v>
      </c>
      <c r="O160" s="238">
        <v>13</v>
      </c>
      <c r="P160" s="238">
        <v>14</v>
      </c>
      <c r="Q160" s="238">
        <v>15</v>
      </c>
      <c r="R160" s="238">
        <v>16</v>
      </c>
      <c r="S160" s="238">
        <v>17</v>
      </c>
      <c r="T160" s="238">
        <v>18</v>
      </c>
      <c r="U160" s="238">
        <v>19</v>
      </c>
      <c r="V160" s="238">
        <v>20</v>
      </c>
      <c r="W160" s="238">
        <v>21</v>
      </c>
      <c r="X160" s="238">
        <v>22</v>
      </c>
      <c r="Y160" s="238">
        <v>23</v>
      </c>
      <c r="Z160" s="238">
        <v>24</v>
      </c>
      <c r="AA160" s="238">
        <v>25</v>
      </c>
      <c r="AB160" s="238">
        <v>26</v>
      </c>
      <c r="AC160" s="238">
        <v>27</v>
      </c>
      <c r="AD160" s="238">
        <v>28</v>
      </c>
      <c r="AE160" s="238">
        <v>29</v>
      </c>
      <c r="AF160" s="238">
        <v>30</v>
      </c>
      <c r="AG160" s="238">
        <v>31</v>
      </c>
      <c r="AH160" s="238">
        <v>32</v>
      </c>
      <c r="AI160" s="238">
        <v>33</v>
      </c>
      <c r="AJ160" s="238">
        <v>34</v>
      </c>
      <c r="AK160" s="238">
        <v>35</v>
      </c>
      <c r="AL160" s="238">
        <v>36</v>
      </c>
      <c r="AM160" s="197">
        <v>37</v>
      </c>
    </row>
    <row r="161" spans="1:40" ht="64.8" x14ac:dyDescent="0.2">
      <c r="A161" s="13" t="s">
        <v>29</v>
      </c>
      <c r="B161" s="59" t="s">
        <v>157</v>
      </c>
      <c r="C161" s="60" t="s">
        <v>369</v>
      </c>
      <c r="D161" s="61" t="s">
        <v>368</v>
      </c>
      <c r="E161" s="61" t="s">
        <v>367</v>
      </c>
      <c r="F161" s="61" t="s">
        <v>366</v>
      </c>
      <c r="G161" s="61" t="s">
        <v>365</v>
      </c>
      <c r="H161" s="61" t="s">
        <v>364</v>
      </c>
      <c r="I161" s="61" t="s">
        <v>363</v>
      </c>
      <c r="J161" s="61" t="s">
        <v>362</v>
      </c>
      <c r="K161" s="61" t="s">
        <v>361</v>
      </c>
      <c r="L161" s="61" t="s">
        <v>360</v>
      </c>
      <c r="M161" s="61" t="s">
        <v>359</v>
      </c>
      <c r="N161" s="61" t="s">
        <v>358</v>
      </c>
      <c r="O161" s="61" t="s">
        <v>357</v>
      </c>
      <c r="P161" s="61" t="s">
        <v>356</v>
      </c>
      <c r="Q161" s="61" t="s">
        <v>355</v>
      </c>
      <c r="R161" s="61" t="s">
        <v>354</v>
      </c>
      <c r="S161" s="61" t="s">
        <v>353</v>
      </c>
      <c r="T161" s="61" t="s">
        <v>352</v>
      </c>
      <c r="U161" s="61" t="s">
        <v>351</v>
      </c>
      <c r="V161" s="61" t="s">
        <v>350</v>
      </c>
      <c r="W161" s="61" t="s">
        <v>349</v>
      </c>
      <c r="X161" s="61" t="s">
        <v>348</v>
      </c>
      <c r="Y161" s="61" t="s">
        <v>347</v>
      </c>
      <c r="Z161" s="61" t="s">
        <v>346</v>
      </c>
      <c r="AA161" s="61" t="s">
        <v>345</v>
      </c>
      <c r="AB161" s="61" t="s">
        <v>344</v>
      </c>
      <c r="AC161" s="61" t="s">
        <v>343</v>
      </c>
      <c r="AD161" s="61" t="s">
        <v>342</v>
      </c>
      <c r="AE161" s="61" t="s">
        <v>341</v>
      </c>
      <c r="AF161" s="61" t="s">
        <v>340</v>
      </c>
      <c r="AG161" s="61" t="s">
        <v>339</v>
      </c>
      <c r="AH161" s="61" t="s">
        <v>338</v>
      </c>
      <c r="AI161" s="61" t="s">
        <v>337</v>
      </c>
      <c r="AJ161" s="61" t="s">
        <v>336</v>
      </c>
      <c r="AK161" s="61" t="s">
        <v>335</v>
      </c>
      <c r="AL161" s="61" t="s">
        <v>334</v>
      </c>
      <c r="AM161" s="63"/>
      <c r="AN161" s="5" t="s">
        <v>118</v>
      </c>
    </row>
    <row r="162" spans="1:40" ht="13.5" customHeight="1" x14ac:dyDescent="0.2">
      <c r="A162" s="269" t="str">
        <f>A138</f>
        <v>全体(n = 1,616 )　　</v>
      </c>
      <c r="B162" s="113">
        <f>B138</f>
        <v>1616</v>
      </c>
      <c r="C162" s="121">
        <v>453</v>
      </c>
      <c r="D162" s="122">
        <v>296</v>
      </c>
      <c r="E162" s="122">
        <v>287</v>
      </c>
      <c r="F162" s="122">
        <v>284</v>
      </c>
      <c r="G162" s="122">
        <v>248</v>
      </c>
      <c r="H162" s="122">
        <v>237</v>
      </c>
      <c r="I162" s="122">
        <v>213</v>
      </c>
      <c r="J162" s="122">
        <v>203</v>
      </c>
      <c r="K162" s="122">
        <v>194</v>
      </c>
      <c r="L162" s="122">
        <v>180</v>
      </c>
      <c r="M162" s="122">
        <v>178</v>
      </c>
      <c r="N162" s="122">
        <v>136</v>
      </c>
      <c r="O162" s="122">
        <v>134</v>
      </c>
      <c r="P162" s="122">
        <v>127</v>
      </c>
      <c r="Q162" s="122">
        <v>123</v>
      </c>
      <c r="R162" s="122">
        <v>100</v>
      </c>
      <c r="S162" s="122">
        <v>97</v>
      </c>
      <c r="T162" s="122">
        <v>94</v>
      </c>
      <c r="U162" s="122">
        <v>91</v>
      </c>
      <c r="V162" s="122">
        <v>76</v>
      </c>
      <c r="W162" s="122">
        <v>75</v>
      </c>
      <c r="X162" s="122">
        <v>71</v>
      </c>
      <c r="Y162" s="122">
        <v>64</v>
      </c>
      <c r="Z162" s="122">
        <v>57</v>
      </c>
      <c r="AA162" s="122">
        <v>55</v>
      </c>
      <c r="AB162" s="122">
        <v>48</v>
      </c>
      <c r="AC162" s="122">
        <v>38</v>
      </c>
      <c r="AD162" s="122">
        <v>37</v>
      </c>
      <c r="AE162" s="122">
        <v>35</v>
      </c>
      <c r="AF162" s="122">
        <v>30</v>
      </c>
      <c r="AG162" s="122">
        <v>29</v>
      </c>
      <c r="AH162" s="122">
        <v>23</v>
      </c>
      <c r="AI162" s="122">
        <v>23</v>
      </c>
      <c r="AJ162" s="122">
        <v>21</v>
      </c>
      <c r="AK162" s="122">
        <v>18</v>
      </c>
      <c r="AL162" s="122">
        <v>12</v>
      </c>
      <c r="AM162" s="124"/>
      <c r="AN162" s="5">
        <f>SUM(C162:AM162)</f>
        <v>4387</v>
      </c>
    </row>
    <row r="163" spans="1:40" x14ac:dyDescent="0.2">
      <c r="A163" s="270"/>
      <c r="B163" s="114">
        <f t="shared" ref="B163:B181" si="94">B139</f>
        <v>100</v>
      </c>
      <c r="C163" s="125">
        <v>28.032178217821784</v>
      </c>
      <c r="D163" s="126">
        <v>18.316831683168317</v>
      </c>
      <c r="E163" s="126">
        <v>17.759900990099009</v>
      </c>
      <c r="F163" s="126">
        <v>17.574257425742573</v>
      </c>
      <c r="G163" s="126">
        <v>15.346534653465346</v>
      </c>
      <c r="H163" s="126">
        <v>14.665841584158414</v>
      </c>
      <c r="I163" s="126">
        <v>13.180693069306932</v>
      </c>
      <c r="J163" s="126">
        <v>12.561881188118813</v>
      </c>
      <c r="K163" s="126">
        <v>12.004950495049505</v>
      </c>
      <c r="L163" s="126">
        <v>11.138613861386139</v>
      </c>
      <c r="M163" s="126">
        <v>11.014851485148515</v>
      </c>
      <c r="N163" s="126">
        <v>8.4158415841584162</v>
      </c>
      <c r="O163" s="126">
        <v>8.2920792079207928</v>
      </c>
      <c r="P163" s="126">
        <v>7.858910891089109</v>
      </c>
      <c r="Q163" s="126">
        <v>7.6113861386138613</v>
      </c>
      <c r="R163" s="126">
        <v>6.1881188118811883</v>
      </c>
      <c r="S163" s="126">
        <v>6.0024752475247523</v>
      </c>
      <c r="T163" s="126">
        <v>5.8168316831683171</v>
      </c>
      <c r="U163" s="126">
        <v>5.6311881188118811</v>
      </c>
      <c r="V163" s="126">
        <v>4.7029702970297027</v>
      </c>
      <c r="W163" s="126">
        <v>4.641089108910891</v>
      </c>
      <c r="X163" s="126">
        <v>4.3935643564356432</v>
      </c>
      <c r="Y163" s="126">
        <v>3.9603960396039604</v>
      </c>
      <c r="Z163" s="126">
        <v>3.527227722772277</v>
      </c>
      <c r="AA163" s="126">
        <v>3.4034653465346536</v>
      </c>
      <c r="AB163" s="126">
        <v>2.9702970297029703</v>
      </c>
      <c r="AC163" s="126">
        <v>2.3514851485148514</v>
      </c>
      <c r="AD163" s="126">
        <v>2.2896039603960396</v>
      </c>
      <c r="AE163" s="126">
        <v>2.1658415841584158</v>
      </c>
      <c r="AF163" s="126">
        <v>1.8564356435643563</v>
      </c>
      <c r="AG163" s="126">
        <v>1.7945544554455444</v>
      </c>
      <c r="AH163" s="126">
        <v>1.4232673267326734</v>
      </c>
      <c r="AI163" s="126">
        <v>1.4232673267326734</v>
      </c>
      <c r="AJ163" s="126">
        <v>1.2995049504950495</v>
      </c>
      <c r="AK163" s="126">
        <v>1.1138613861386137</v>
      </c>
      <c r="AL163" s="126">
        <v>0.74257425742574257</v>
      </c>
      <c r="AM163" s="128"/>
      <c r="AN163" s="195"/>
    </row>
    <row r="164" spans="1:40" ht="13.5" customHeight="1" x14ac:dyDescent="0.2">
      <c r="A164" s="269" t="str">
        <f>A140</f>
        <v>自営業(n = 175 )　　</v>
      </c>
      <c r="B164" s="113">
        <f t="shared" si="94"/>
        <v>175</v>
      </c>
      <c r="C164" s="129">
        <v>56</v>
      </c>
      <c r="D164" s="130">
        <v>38</v>
      </c>
      <c r="E164" s="130">
        <v>36</v>
      </c>
      <c r="F164" s="130">
        <v>30</v>
      </c>
      <c r="G164" s="130">
        <v>24</v>
      </c>
      <c r="H164" s="130">
        <v>28</v>
      </c>
      <c r="I164" s="130">
        <v>18</v>
      </c>
      <c r="J164" s="130">
        <v>23</v>
      </c>
      <c r="K164" s="130">
        <v>22</v>
      </c>
      <c r="L164" s="130">
        <v>25</v>
      </c>
      <c r="M164" s="130">
        <v>10</v>
      </c>
      <c r="N164" s="130">
        <v>10</v>
      </c>
      <c r="O164" s="130">
        <v>5</v>
      </c>
      <c r="P164" s="130">
        <v>6</v>
      </c>
      <c r="Q164" s="130">
        <v>14</v>
      </c>
      <c r="R164" s="130">
        <v>11</v>
      </c>
      <c r="S164" s="130">
        <v>14</v>
      </c>
      <c r="T164" s="130">
        <v>7</v>
      </c>
      <c r="U164" s="130">
        <v>5</v>
      </c>
      <c r="V164" s="130">
        <v>14</v>
      </c>
      <c r="W164" s="130">
        <v>7</v>
      </c>
      <c r="X164" s="130">
        <v>20</v>
      </c>
      <c r="Y164" s="130">
        <v>3</v>
      </c>
      <c r="Z164" s="130">
        <v>11</v>
      </c>
      <c r="AA164" s="130">
        <v>2</v>
      </c>
      <c r="AB164" s="130">
        <v>3</v>
      </c>
      <c r="AC164" s="130">
        <v>2</v>
      </c>
      <c r="AD164" s="130">
        <v>6</v>
      </c>
      <c r="AE164" s="130">
        <v>3</v>
      </c>
      <c r="AF164" s="130">
        <v>3</v>
      </c>
      <c r="AG164" s="130">
        <v>1</v>
      </c>
      <c r="AH164" s="130">
        <v>4</v>
      </c>
      <c r="AI164" s="130">
        <v>3</v>
      </c>
      <c r="AJ164" s="130">
        <v>1</v>
      </c>
      <c r="AK164" s="130">
        <v>2</v>
      </c>
      <c r="AL164" s="130">
        <v>1</v>
      </c>
      <c r="AM164" s="131"/>
      <c r="AN164" s="5">
        <f>SUM(C164:AM164)</f>
        <v>468</v>
      </c>
    </row>
    <row r="165" spans="1:40" x14ac:dyDescent="0.2">
      <c r="A165" s="270"/>
      <c r="B165" s="114">
        <f t="shared" si="94"/>
        <v>10.829207920792079</v>
      </c>
      <c r="C165" s="125">
        <v>32</v>
      </c>
      <c r="D165" s="126">
        <v>21.714285714285715</v>
      </c>
      <c r="E165" s="126">
        <v>20.571428571428569</v>
      </c>
      <c r="F165" s="126">
        <v>17.142857142857142</v>
      </c>
      <c r="G165" s="126">
        <v>13.714285714285715</v>
      </c>
      <c r="H165" s="126">
        <v>16</v>
      </c>
      <c r="I165" s="126">
        <v>10.285714285714285</v>
      </c>
      <c r="J165" s="126">
        <v>13.142857142857142</v>
      </c>
      <c r="K165" s="126">
        <v>12.571428571428573</v>
      </c>
      <c r="L165" s="126">
        <v>14.285714285714285</v>
      </c>
      <c r="M165" s="126">
        <v>5.7142857142857144</v>
      </c>
      <c r="N165" s="126">
        <v>5.7142857142857144</v>
      </c>
      <c r="O165" s="126">
        <v>2.8571428571428572</v>
      </c>
      <c r="P165" s="126">
        <v>3.4285714285714288</v>
      </c>
      <c r="Q165" s="126">
        <v>8</v>
      </c>
      <c r="R165" s="126">
        <v>6.2857142857142865</v>
      </c>
      <c r="S165" s="126">
        <v>8</v>
      </c>
      <c r="T165" s="126">
        <v>4</v>
      </c>
      <c r="U165" s="126">
        <v>2.8571428571428572</v>
      </c>
      <c r="V165" s="126">
        <v>8</v>
      </c>
      <c r="W165" s="126">
        <v>4</v>
      </c>
      <c r="X165" s="126">
        <v>11.428571428571429</v>
      </c>
      <c r="Y165" s="126">
        <v>1.7142857142857144</v>
      </c>
      <c r="Z165" s="126">
        <v>6.2857142857142865</v>
      </c>
      <c r="AA165" s="126">
        <v>1.1428571428571428</v>
      </c>
      <c r="AB165" s="126">
        <v>1.7142857142857144</v>
      </c>
      <c r="AC165" s="126">
        <v>1.1428571428571428</v>
      </c>
      <c r="AD165" s="126">
        <v>3.4285714285714288</v>
      </c>
      <c r="AE165" s="126">
        <v>1.7142857142857144</v>
      </c>
      <c r="AF165" s="126">
        <v>1.7142857142857144</v>
      </c>
      <c r="AG165" s="126">
        <v>0.5714285714285714</v>
      </c>
      <c r="AH165" s="126">
        <v>2.2857142857142856</v>
      </c>
      <c r="AI165" s="126">
        <v>1.7142857142857144</v>
      </c>
      <c r="AJ165" s="126">
        <v>0.5714285714285714</v>
      </c>
      <c r="AK165" s="126">
        <v>1.1428571428571428</v>
      </c>
      <c r="AL165" s="126">
        <v>0.5714285714285714</v>
      </c>
      <c r="AM165" s="128"/>
      <c r="AN165" s="195"/>
    </row>
    <row r="166" spans="1:40" ht="13.5" customHeight="1" x14ac:dyDescent="0.2">
      <c r="A166" s="269" t="str">
        <f>A142</f>
        <v>自由業(※1)(n = 12 )　　</v>
      </c>
      <c r="B166" s="113">
        <f t="shared" si="94"/>
        <v>12</v>
      </c>
      <c r="C166" s="129">
        <v>3</v>
      </c>
      <c r="D166" s="130">
        <v>3</v>
      </c>
      <c r="E166" s="130">
        <v>4</v>
      </c>
      <c r="F166" s="130">
        <v>1</v>
      </c>
      <c r="G166" s="130">
        <v>1</v>
      </c>
      <c r="H166" s="130">
        <v>2</v>
      </c>
      <c r="I166" s="130">
        <v>1</v>
      </c>
      <c r="J166" s="130">
        <v>1</v>
      </c>
      <c r="K166" s="130">
        <v>1</v>
      </c>
      <c r="L166" s="130">
        <v>3</v>
      </c>
      <c r="M166" s="130">
        <v>1</v>
      </c>
      <c r="N166" s="130">
        <v>1</v>
      </c>
      <c r="O166" s="130">
        <v>3</v>
      </c>
      <c r="P166" s="130">
        <v>0</v>
      </c>
      <c r="Q166" s="130">
        <v>2</v>
      </c>
      <c r="R166" s="130">
        <v>2</v>
      </c>
      <c r="S166" s="130">
        <v>1</v>
      </c>
      <c r="T166" s="130">
        <v>2</v>
      </c>
      <c r="U166" s="130">
        <v>1</v>
      </c>
      <c r="V166" s="130">
        <v>0</v>
      </c>
      <c r="W166" s="130">
        <v>1</v>
      </c>
      <c r="X166" s="130">
        <v>2</v>
      </c>
      <c r="Y166" s="130">
        <v>2</v>
      </c>
      <c r="Z166" s="130">
        <v>1</v>
      </c>
      <c r="AA166" s="130">
        <v>0</v>
      </c>
      <c r="AB166" s="130">
        <v>0</v>
      </c>
      <c r="AC166" s="130">
        <v>0</v>
      </c>
      <c r="AD166" s="130">
        <v>0</v>
      </c>
      <c r="AE166" s="130">
        <v>0</v>
      </c>
      <c r="AF166" s="130">
        <v>0</v>
      </c>
      <c r="AG166" s="130">
        <v>0</v>
      </c>
      <c r="AH166" s="130">
        <v>0</v>
      </c>
      <c r="AI166" s="130">
        <v>1</v>
      </c>
      <c r="AJ166" s="130">
        <v>0</v>
      </c>
      <c r="AK166" s="130">
        <v>0</v>
      </c>
      <c r="AL166" s="130">
        <v>0</v>
      </c>
      <c r="AM166" s="131"/>
      <c r="AN166" s="5">
        <f>SUM(C166:AM166)</f>
        <v>40</v>
      </c>
    </row>
    <row r="167" spans="1:40" x14ac:dyDescent="0.2">
      <c r="A167" s="270"/>
      <c r="B167" s="114">
        <f t="shared" si="94"/>
        <v>0.74257425742574257</v>
      </c>
      <c r="C167" s="125">
        <v>25</v>
      </c>
      <c r="D167" s="126">
        <v>25</v>
      </c>
      <c r="E167" s="126">
        <v>33.333333333333329</v>
      </c>
      <c r="F167" s="126">
        <v>8.3333333333333321</v>
      </c>
      <c r="G167" s="126">
        <v>8.3333333333333321</v>
      </c>
      <c r="H167" s="126">
        <v>16.666666666666664</v>
      </c>
      <c r="I167" s="126">
        <v>8.3333333333333321</v>
      </c>
      <c r="J167" s="126">
        <v>8.3333333333333321</v>
      </c>
      <c r="K167" s="126">
        <v>8.3333333333333321</v>
      </c>
      <c r="L167" s="126">
        <v>25</v>
      </c>
      <c r="M167" s="126">
        <v>8.3333333333333321</v>
      </c>
      <c r="N167" s="126">
        <v>8.3333333333333321</v>
      </c>
      <c r="O167" s="126">
        <v>25</v>
      </c>
      <c r="P167" s="126">
        <v>0</v>
      </c>
      <c r="Q167" s="126">
        <v>16.666666666666664</v>
      </c>
      <c r="R167" s="126">
        <v>16.666666666666664</v>
      </c>
      <c r="S167" s="126">
        <v>8.3333333333333321</v>
      </c>
      <c r="T167" s="126">
        <v>16.666666666666664</v>
      </c>
      <c r="U167" s="126">
        <v>8.3333333333333321</v>
      </c>
      <c r="V167" s="126">
        <v>0</v>
      </c>
      <c r="W167" s="126">
        <v>8.3333333333333321</v>
      </c>
      <c r="X167" s="126">
        <v>16.666666666666664</v>
      </c>
      <c r="Y167" s="126">
        <v>16.666666666666664</v>
      </c>
      <c r="Z167" s="126">
        <v>8.3333333333333321</v>
      </c>
      <c r="AA167" s="126">
        <v>0</v>
      </c>
      <c r="AB167" s="126">
        <v>0</v>
      </c>
      <c r="AC167" s="126">
        <v>0</v>
      </c>
      <c r="AD167" s="126">
        <v>0</v>
      </c>
      <c r="AE167" s="126">
        <v>0</v>
      </c>
      <c r="AF167" s="126">
        <v>0</v>
      </c>
      <c r="AG167" s="126">
        <v>0</v>
      </c>
      <c r="AH167" s="126">
        <v>0</v>
      </c>
      <c r="AI167" s="126">
        <v>8.3333333333333321</v>
      </c>
      <c r="AJ167" s="126">
        <v>0</v>
      </c>
      <c r="AK167" s="126">
        <v>0</v>
      </c>
      <c r="AL167" s="126">
        <v>0</v>
      </c>
      <c r="AM167" s="128"/>
      <c r="AN167" s="195"/>
    </row>
    <row r="168" spans="1:40" ht="13.5" customHeight="1" x14ac:dyDescent="0.2">
      <c r="A168" s="269" t="str">
        <f>A144</f>
        <v>会社・団体役員(n = 171 )　　</v>
      </c>
      <c r="B168" s="113">
        <f t="shared" si="94"/>
        <v>171</v>
      </c>
      <c r="C168" s="129">
        <v>58</v>
      </c>
      <c r="D168" s="130">
        <v>34</v>
      </c>
      <c r="E168" s="130">
        <v>33</v>
      </c>
      <c r="F168" s="130">
        <v>25</v>
      </c>
      <c r="G168" s="130">
        <v>25</v>
      </c>
      <c r="H168" s="130">
        <v>24</v>
      </c>
      <c r="I168" s="130">
        <v>29</v>
      </c>
      <c r="J168" s="130">
        <v>30</v>
      </c>
      <c r="K168" s="130">
        <v>19</v>
      </c>
      <c r="L168" s="130">
        <v>11</v>
      </c>
      <c r="M168" s="130">
        <v>15</v>
      </c>
      <c r="N168" s="130">
        <v>15</v>
      </c>
      <c r="O168" s="130">
        <v>14</v>
      </c>
      <c r="P168" s="130">
        <v>15</v>
      </c>
      <c r="Q168" s="130">
        <v>9</v>
      </c>
      <c r="R168" s="130">
        <v>13</v>
      </c>
      <c r="S168" s="130">
        <v>13</v>
      </c>
      <c r="T168" s="130">
        <v>5</v>
      </c>
      <c r="U168" s="130">
        <v>14</v>
      </c>
      <c r="V168" s="130">
        <v>13</v>
      </c>
      <c r="W168" s="130">
        <v>11</v>
      </c>
      <c r="X168" s="130">
        <v>7</v>
      </c>
      <c r="Y168" s="130">
        <v>2</v>
      </c>
      <c r="Z168" s="130">
        <v>6</v>
      </c>
      <c r="AA168" s="130">
        <v>11</v>
      </c>
      <c r="AB168" s="130">
        <v>4</v>
      </c>
      <c r="AC168" s="130">
        <v>1</v>
      </c>
      <c r="AD168" s="130">
        <v>3</v>
      </c>
      <c r="AE168" s="130">
        <v>1</v>
      </c>
      <c r="AF168" s="130">
        <v>5</v>
      </c>
      <c r="AG168" s="130">
        <v>3</v>
      </c>
      <c r="AH168" s="130">
        <v>5</v>
      </c>
      <c r="AI168" s="130">
        <v>3</v>
      </c>
      <c r="AJ168" s="130">
        <v>4</v>
      </c>
      <c r="AK168" s="130">
        <v>5</v>
      </c>
      <c r="AL168" s="130">
        <v>1</v>
      </c>
      <c r="AM168" s="131"/>
      <c r="AN168" s="5">
        <f>SUM(C168:AM168)</f>
        <v>486</v>
      </c>
    </row>
    <row r="169" spans="1:40" x14ac:dyDescent="0.2">
      <c r="A169" s="270"/>
      <c r="B169" s="114">
        <f t="shared" si="94"/>
        <v>10.581683168316831</v>
      </c>
      <c r="C169" s="125">
        <v>33.918128654970758</v>
      </c>
      <c r="D169" s="126">
        <v>19.883040935672515</v>
      </c>
      <c r="E169" s="126">
        <v>19.298245614035086</v>
      </c>
      <c r="F169" s="126">
        <v>14.619883040935672</v>
      </c>
      <c r="G169" s="126">
        <v>14.619883040935672</v>
      </c>
      <c r="H169" s="126">
        <v>14.035087719298245</v>
      </c>
      <c r="I169" s="126">
        <v>16.959064327485379</v>
      </c>
      <c r="J169" s="126">
        <v>17.543859649122805</v>
      </c>
      <c r="K169" s="126">
        <v>11.111111111111111</v>
      </c>
      <c r="L169" s="126">
        <v>6.4327485380116958</v>
      </c>
      <c r="M169" s="126">
        <v>8.7719298245614024</v>
      </c>
      <c r="N169" s="126">
        <v>8.7719298245614024</v>
      </c>
      <c r="O169" s="126">
        <v>8.1871345029239766</v>
      </c>
      <c r="P169" s="126">
        <v>8.7719298245614024</v>
      </c>
      <c r="Q169" s="126">
        <v>5.2631578947368416</v>
      </c>
      <c r="R169" s="126">
        <v>7.6023391812865491</v>
      </c>
      <c r="S169" s="126">
        <v>7.6023391812865491</v>
      </c>
      <c r="T169" s="126">
        <v>2.9239766081871341</v>
      </c>
      <c r="U169" s="126">
        <v>8.1871345029239766</v>
      </c>
      <c r="V169" s="126">
        <v>7.6023391812865491</v>
      </c>
      <c r="W169" s="126">
        <v>6.4327485380116958</v>
      </c>
      <c r="X169" s="126">
        <v>4.0935672514619883</v>
      </c>
      <c r="Y169" s="126">
        <v>1.1695906432748537</v>
      </c>
      <c r="Z169" s="126">
        <v>3.5087719298245612</v>
      </c>
      <c r="AA169" s="126">
        <v>6.4327485380116958</v>
      </c>
      <c r="AB169" s="126">
        <v>2.3391812865497075</v>
      </c>
      <c r="AC169" s="126">
        <v>0.58479532163742687</v>
      </c>
      <c r="AD169" s="126">
        <v>1.7543859649122806</v>
      </c>
      <c r="AE169" s="126">
        <v>0.58479532163742687</v>
      </c>
      <c r="AF169" s="126">
        <v>2.9239766081871341</v>
      </c>
      <c r="AG169" s="126">
        <v>1.7543859649122806</v>
      </c>
      <c r="AH169" s="126">
        <v>2.9239766081871341</v>
      </c>
      <c r="AI169" s="126">
        <v>1.7543859649122806</v>
      </c>
      <c r="AJ169" s="126">
        <v>2.3391812865497075</v>
      </c>
      <c r="AK169" s="126">
        <v>2.9239766081871341</v>
      </c>
      <c r="AL169" s="126">
        <v>0.58479532163742687</v>
      </c>
      <c r="AM169" s="128"/>
      <c r="AN169" s="195"/>
    </row>
    <row r="170" spans="1:40" ht="13.5" customHeight="1" x14ac:dyDescent="0.2">
      <c r="A170" s="271" t="str">
        <f>A146</f>
        <v>正規の従業員・職員(n = 423 )　　</v>
      </c>
      <c r="B170" s="113">
        <f t="shared" si="94"/>
        <v>423</v>
      </c>
      <c r="C170" s="129">
        <v>118</v>
      </c>
      <c r="D170" s="130">
        <v>84</v>
      </c>
      <c r="E170" s="130">
        <v>62</v>
      </c>
      <c r="F170" s="130">
        <v>77</v>
      </c>
      <c r="G170" s="130">
        <v>67</v>
      </c>
      <c r="H170" s="130">
        <v>63</v>
      </c>
      <c r="I170" s="130">
        <v>58</v>
      </c>
      <c r="J170" s="130">
        <v>51</v>
      </c>
      <c r="K170" s="130">
        <v>41</v>
      </c>
      <c r="L170" s="130">
        <v>46</v>
      </c>
      <c r="M170" s="130">
        <v>34</v>
      </c>
      <c r="N170" s="130">
        <v>43</v>
      </c>
      <c r="O170" s="130">
        <v>46</v>
      </c>
      <c r="P170" s="130">
        <v>38</v>
      </c>
      <c r="Q170" s="130">
        <v>35</v>
      </c>
      <c r="R170" s="130">
        <v>24</v>
      </c>
      <c r="S170" s="130">
        <v>17</v>
      </c>
      <c r="T170" s="130">
        <v>23</v>
      </c>
      <c r="U170" s="130">
        <v>23</v>
      </c>
      <c r="V170" s="130">
        <v>15</v>
      </c>
      <c r="W170" s="130">
        <v>20</v>
      </c>
      <c r="X170" s="130">
        <v>20</v>
      </c>
      <c r="Y170" s="130">
        <v>12</v>
      </c>
      <c r="Z170" s="130">
        <v>12</v>
      </c>
      <c r="AA170" s="130">
        <v>17</v>
      </c>
      <c r="AB170" s="130">
        <v>12</v>
      </c>
      <c r="AC170" s="130">
        <v>11</v>
      </c>
      <c r="AD170" s="130">
        <v>16</v>
      </c>
      <c r="AE170" s="130">
        <v>9</v>
      </c>
      <c r="AF170" s="130">
        <v>8</v>
      </c>
      <c r="AG170" s="130">
        <v>10</v>
      </c>
      <c r="AH170" s="130">
        <v>4</v>
      </c>
      <c r="AI170" s="130">
        <v>7</v>
      </c>
      <c r="AJ170" s="130">
        <v>7</v>
      </c>
      <c r="AK170" s="130">
        <v>3</v>
      </c>
      <c r="AL170" s="130">
        <v>2</v>
      </c>
      <c r="AM170" s="131"/>
      <c r="AN170" s="5">
        <f>SUM(C170:AM170)</f>
        <v>1135</v>
      </c>
    </row>
    <row r="171" spans="1:40" x14ac:dyDescent="0.2">
      <c r="A171" s="272"/>
      <c r="B171" s="114">
        <f t="shared" si="94"/>
        <v>26.175742574257427</v>
      </c>
      <c r="C171" s="125">
        <v>27.895981087470449</v>
      </c>
      <c r="D171" s="126">
        <v>19.858156028368796</v>
      </c>
      <c r="E171" s="126">
        <v>14.657210401891252</v>
      </c>
      <c r="F171" s="126">
        <v>18.203309692671397</v>
      </c>
      <c r="G171" s="126">
        <v>15.839243498817968</v>
      </c>
      <c r="H171" s="126">
        <v>14.893617021276595</v>
      </c>
      <c r="I171" s="126">
        <v>13.711583924349883</v>
      </c>
      <c r="J171" s="126">
        <v>12.056737588652481</v>
      </c>
      <c r="K171" s="126">
        <v>9.6926713947990546</v>
      </c>
      <c r="L171" s="126">
        <v>10.874704491725769</v>
      </c>
      <c r="M171" s="126">
        <v>8.0378250591016549</v>
      </c>
      <c r="N171" s="126">
        <v>10.16548463356974</v>
      </c>
      <c r="O171" s="126">
        <v>10.874704491725769</v>
      </c>
      <c r="P171" s="126">
        <v>8.9834515366430256</v>
      </c>
      <c r="Q171" s="126">
        <v>8.2742316784869967</v>
      </c>
      <c r="R171" s="126">
        <v>5.6737588652482271</v>
      </c>
      <c r="S171" s="126">
        <v>4.0189125295508275</v>
      </c>
      <c r="T171" s="126">
        <v>5.4373522458628845</v>
      </c>
      <c r="U171" s="126">
        <v>5.4373522458628845</v>
      </c>
      <c r="V171" s="126">
        <v>3.5460992907801421</v>
      </c>
      <c r="W171" s="126">
        <v>4.7281323877068555</v>
      </c>
      <c r="X171" s="126">
        <v>4.7281323877068555</v>
      </c>
      <c r="Y171" s="126">
        <v>2.8368794326241136</v>
      </c>
      <c r="Z171" s="126">
        <v>2.8368794326241136</v>
      </c>
      <c r="AA171" s="126">
        <v>4.0189125295508275</v>
      </c>
      <c r="AB171" s="126">
        <v>2.8368794326241136</v>
      </c>
      <c r="AC171" s="126">
        <v>2.6004728132387704</v>
      </c>
      <c r="AD171" s="126">
        <v>3.7825059101654848</v>
      </c>
      <c r="AE171" s="126">
        <v>2.1276595744680851</v>
      </c>
      <c r="AF171" s="126">
        <v>1.8912529550827424</v>
      </c>
      <c r="AG171" s="126">
        <v>2.3640661938534278</v>
      </c>
      <c r="AH171" s="126">
        <v>0.94562647754137119</v>
      </c>
      <c r="AI171" s="126">
        <v>1.6548463356973995</v>
      </c>
      <c r="AJ171" s="126">
        <v>1.6548463356973995</v>
      </c>
      <c r="AK171" s="126">
        <v>0.70921985815602839</v>
      </c>
      <c r="AL171" s="126">
        <v>0.4728132387706856</v>
      </c>
      <c r="AM171" s="128"/>
      <c r="AN171" s="195"/>
    </row>
    <row r="172" spans="1:40" ht="13.5" customHeight="1" x14ac:dyDescent="0.2">
      <c r="A172" s="265" t="str">
        <f>A148</f>
        <v>パートタイム・アルバイト・派遣(n = 346 )　　</v>
      </c>
      <c r="B172" s="113">
        <f t="shared" si="94"/>
        <v>346</v>
      </c>
      <c r="C172" s="129">
        <v>89</v>
      </c>
      <c r="D172" s="130">
        <v>58</v>
      </c>
      <c r="E172" s="130">
        <v>58</v>
      </c>
      <c r="F172" s="130">
        <v>56</v>
      </c>
      <c r="G172" s="130">
        <v>61</v>
      </c>
      <c r="H172" s="130">
        <v>50</v>
      </c>
      <c r="I172" s="130">
        <v>52</v>
      </c>
      <c r="J172" s="130">
        <v>51</v>
      </c>
      <c r="K172" s="130">
        <v>36</v>
      </c>
      <c r="L172" s="130">
        <v>34</v>
      </c>
      <c r="M172" s="130">
        <v>46</v>
      </c>
      <c r="N172" s="130">
        <v>36</v>
      </c>
      <c r="O172" s="130">
        <v>28</v>
      </c>
      <c r="P172" s="130">
        <v>26</v>
      </c>
      <c r="Q172" s="130">
        <v>26</v>
      </c>
      <c r="R172" s="130">
        <v>16</v>
      </c>
      <c r="S172" s="130">
        <v>23</v>
      </c>
      <c r="T172" s="130">
        <v>27</v>
      </c>
      <c r="U172" s="130">
        <v>21</v>
      </c>
      <c r="V172" s="130">
        <v>16</v>
      </c>
      <c r="W172" s="130">
        <v>18</v>
      </c>
      <c r="X172" s="130">
        <v>11</v>
      </c>
      <c r="Y172" s="130">
        <v>20</v>
      </c>
      <c r="Z172" s="130">
        <v>14</v>
      </c>
      <c r="AA172" s="130">
        <v>12</v>
      </c>
      <c r="AB172" s="130">
        <v>16</v>
      </c>
      <c r="AC172" s="130">
        <v>14</v>
      </c>
      <c r="AD172" s="130">
        <v>7</v>
      </c>
      <c r="AE172" s="130">
        <v>10</v>
      </c>
      <c r="AF172" s="130">
        <v>4</v>
      </c>
      <c r="AG172" s="130">
        <v>7</v>
      </c>
      <c r="AH172" s="130">
        <v>4</v>
      </c>
      <c r="AI172" s="130">
        <v>5</v>
      </c>
      <c r="AJ172" s="130">
        <v>3</v>
      </c>
      <c r="AK172" s="130">
        <v>3</v>
      </c>
      <c r="AL172" s="130">
        <v>1</v>
      </c>
      <c r="AM172" s="131"/>
      <c r="AN172" s="5">
        <f>SUM(C172:AM172)</f>
        <v>959</v>
      </c>
    </row>
    <row r="173" spans="1:40" x14ac:dyDescent="0.2">
      <c r="A173" s="266"/>
      <c r="B173" s="114">
        <f t="shared" si="94"/>
        <v>21.410891089108912</v>
      </c>
      <c r="C173" s="125">
        <v>25.722543352601157</v>
      </c>
      <c r="D173" s="126">
        <v>16.76300578034682</v>
      </c>
      <c r="E173" s="126">
        <v>16.76300578034682</v>
      </c>
      <c r="F173" s="126">
        <v>16.184971098265898</v>
      </c>
      <c r="G173" s="126">
        <v>17.630057803468208</v>
      </c>
      <c r="H173" s="126">
        <v>14.450867052023122</v>
      </c>
      <c r="I173" s="126">
        <v>15.028901734104046</v>
      </c>
      <c r="J173" s="126">
        <v>14.739884393063585</v>
      </c>
      <c r="K173" s="126">
        <v>10.404624277456648</v>
      </c>
      <c r="L173" s="126">
        <v>9.8265895953757223</v>
      </c>
      <c r="M173" s="126">
        <v>13.294797687861271</v>
      </c>
      <c r="N173" s="126">
        <v>10.404624277456648</v>
      </c>
      <c r="O173" s="126">
        <v>8.0924855491329488</v>
      </c>
      <c r="P173" s="126">
        <v>7.5144508670520231</v>
      </c>
      <c r="Q173" s="126">
        <v>7.5144508670520231</v>
      </c>
      <c r="R173" s="126">
        <v>4.6242774566473983</v>
      </c>
      <c r="S173" s="126">
        <v>6.6473988439306355</v>
      </c>
      <c r="T173" s="126">
        <v>7.803468208092486</v>
      </c>
      <c r="U173" s="126">
        <v>6.0693641618497107</v>
      </c>
      <c r="V173" s="126">
        <v>4.6242774566473983</v>
      </c>
      <c r="W173" s="126">
        <v>5.202312138728324</v>
      </c>
      <c r="X173" s="126">
        <v>3.1791907514450863</v>
      </c>
      <c r="Y173" s="126">
        <v>5.7803468208092488</v>
      </c>
      <c r="Z173" s="126">
        <v>4.0462427745664744</v>
      </c>
      <c r="AA173" s="126">
        <v>3.4682080924855487</v>
      </c>
      <c r="AB173" s="126">
        <v>4.6242774566473983</v>
      </c>
      <c r="AC173" s="126">
        <v>4.0462427745664744</v>
      </c>
      <c r="AD173" s="126">
        <v>2.0231213872832372</v>
      </c>
      <c r="AE173" s="126">
        <v>2.8901734104046244</v>
      </c>
      <c r="AF173" s="126">
        <v>1.1560693641618496</v>
      </c>
      <c r="AG173" s="126">
        <v>2.0231213872832372</v>
      </c>
      <c r="AH173" s="126">
        <v>1.1560693641618496</v>
      </c>
      <c r="AI173" s="126">
        <v>1.4450867052023122</v>
      </c>
      <c r="AJ173" s="126">
        <v>0.86705202312138718</v>
      </c>
      <c r="AK173" s="126">
        <v>0.86705202312138718</v>
      </c>
      <c r="AL173" s="126">
        <v>0.28901734104046239</v>
      </c>
      <c r="AM173" s="128"/>
      <c r="AN173" s="237"/>
    </row>
    <row r="174" spans="1:40" ht="13.5" customHeight="1" x14ac:dyDescent="0.2">
      <c r="A174" s="269" t="str">
        <f>A150</f>
        <v>学生(n = 44 )　　</v>
      </c>
      <c r="B174" s="113">
        <f t="shared" si="94"/>
        <v>44</v>
      </c>
      <c r="C174" s="129">
        <v>16</v>
      </c>
      <c r="D174" s="130">
        <v>8</v>
      </c>
      <c r="E174" s="130">
        <v>5</v>
      </c>
      <c r="F174" s="130">
        <v>6</v>
      </c>
      <c r="G174" s="130">
        <v>4</v>
      </c>
      <c r="H174" s="130">
        <v>10</v>
      </c>
      <c r="I174" s="130">
        <v>9</v>
      </c>
      <c r="J174" s="130">
        <v>5</v>
      </c>
      <c r="K174" s="130">
        <v>3</v>
      </c>
      <c r="L174" s="130">
        <v>7</v>
      </c>
      <c r="M174" s="130">
        <v>3</v>
      </c>
      <c r="N174" s="130">
        <v>3</v>
      </c>
      <c r="O174" s="130">
        <v>11</v>
      </c>
      <c r="P174" s="130">
        <v>6</v>
      </c>
      <c r="Q174" s="130">
        <v>1</v>
      </c>
      <c r="R174" s="130">
        <v>4</v>
      </c>
      <c r="S174" s="130">
        <v>1</v>
      </c>
      <c r="T174" s="130">
        <v>7</v>
      </c>
      <c r="U174" s="130">
        <v>2</v>
      </c>
      <c r="V174" s="130">
        <v>2</v>
      </c>
      <c r="W174" s="130">
        <v>4</v>
      </c>
      <c r="X174" s="130">
        <v>1</v>
      </c>
      <c r="Y174" s="130">
        <v>3</v>
      </c>
      <c r="Z174" s="130">
        <v>2</v>
      </c>
      <c r="AA174" s="130">
        <v>1</v>
      </c>
      <c r="AB174" s="130">
        <v>0</v>
      </c>
      <c r="AC174" s="130">
        <v>1</v>
      </c>
      <c r="AD174" s="130">
        <v>0</v>
      </c>
      <c r="AE174" s="130">
        <v>2</v>
      </c>
      <c r="AF174" s="130">
        <v>0</v>
      </c>
      <c r="AG174" s="130">
        <v>1</v>
      </c>
      <c r="AH174" s="130">
        <v>2</v>
      </c>
      <c r="AI174" s="130">
        <v>1</v>
      </c>
      <c r="AJ174" s="130">
        <v>1</v>
      </c>
      <c r="AK174" s="130">
        <v>1</v>
      </c>
      <c r="AL174" s="130">
        <v>0</v>
      </c>
      <c r="AM174" s="131"/>
      <c r="AN174" s="5">
        <f>SUM(C174:AM174)</f>
        <v>133</v>
      </c>
    </row>
    <row r="175" spans="1:40" x14ac:dyDescent="0.2">
      <c r="A175" s="270"/>
      <c r="B175" s="114">
        <f t="shared" si="94"/>
        <v>2.722772277227723</v>
      </c>
      <c r="C175" s="125">
        <v>36.363636363636367</v>
      </c>
      <c r="D175" s="126">
        <v>18.181818181818183</v>
      </c>
      <c r="E175" s="126">
        <v>11.363636363636363</v>
      </c>
      <c r="F175" s="126">
        <v>13.636363636363635</v>
      </c>
      <c r="G175" s="126">
        <v>9.0909090909090917</v>
      </c>
      <c r="H175" s="126">
        <v>22.727272727272727</v>
      </c>
      <c r="I175" s="126">
        <v>20.454545454545457</v>
      </c>
      <c r="J175" s="126">
        <v>11.363636363636363</v>
      </c>
      <c r="K175" s="126">
        <v>6.8181818181818175</v>
      </c>
      <c r="L175" s="126">
        <v>15.909090909090908</v>
      </c>
      <c r="M175" s="126">
        <v>6.8181818181818175</v>
      </c>
      <c r="N175" s="126">
        <v>6.8181818181818175</v>
      </c>
      <c r="O175" s="126">
        <v>25</v>
      </c>
      <c r="P175" s="126">
        <v>13.636363636363635</v>
      </c>
      <c r="Q175" s="126">
        <v>2.2727272727272729</v>
      </c>
      <c r="R175" s="126">
        <v>9.0909090909090917</v>
      </c>
      <c r="S175" s="126">
        <v>2.2727272727272729</v>
      </c>
      <c r="T175" s="126">
        <v>15.909090909090908</v>
      </c>
      <c r="U175" s="126">
        <v>4.5454545454545459</v>
      </c>
      <c r="V175" s="126">
        <v>4.5454545454545459</v>
      </c>
      <c r="W175" s="126">
        <v>9.0909090909090917</v>
      </c>
      <c r="X175" s="126">
        <v>2.2727272727272729</v>
      </c>
      <c r="Y175" s="126">
        <v>6.8181818181818175</v>
      </c>
      <c r="Z175" s="126">
        <v>4.5454545454545459</v>
      </c>
      <c r="AA175" s="126">
        <v>2.2727272727272729</v>
      </c>
      <c r="AB175" s="126">
        <v>0</v>
      </c>
      <c r="AC175" s="126">
        <v>2.2727272727272729</v>
      </c>
      <c r="AD175" s="126">
        <v>0</v>
      </c>
      <c r="AE175" s="126">
        <v>4.5454545454545459</v>
      </c>
      <c r="AF175" s="126">
        <v>0</v>
      </c>
      <c r="AG175" s="126">
        <v>2.2727272727272729</v>
      </c>
      <c r="AH175" s="126">
        <v>4.5454545454545459</v>
      </c>
      <c r="AI175" s="126">
        <v>2.2727272727272729</v>
      </c>
      <c r="AJ175" s="126">
        <v>2.2727272727272729</v>
      </c>
      <c r="AK175" s="126">
        <v>2.2727272727272729</v>
      </c>
      <c r="AL175" s="126">
        <v>0</v>
      </c>
      <c r="AM175" s="128"/>
      <c r="AN175" s="195"/>
    </row>
    <row r="176" spans="1:40" ht="13.5" customHeight="1" x14ac:dyDescent="0.2">
      <c r="A176" s="269" t="str">
        <f>A152</f>
        <v>家事従事(n = 150 )　　</v>
      </c>
      <c r="B176" s="113">
        <f t="shared" si="94"/>
        <v>150</v>
      </c>
      <c r="C176" s="129">
        <v>36</v>
      </c>
      <c r="D176" s="130">
        <v>15</v>
      </c>
      <c r="E176" s="130">
        <v>22</v>
      </c>
      <c r="F176" s="130">
        <v>26</v>
      </c>
      <c r="G176" s="130">
        <v>29</v>
      </c>
      <c r="H176" s="130">
        <v>19</v>
      </c>
      <c r="I176" s="130">
        <v>12</v>
      </c>
      <c r="J176" s="130">
        <v>22</v>
      </c>
      <c r="K176" s="130">
        <v>22</v>
      </c>
      <c r="L176" s="130">
        <v>16</v>
      </c>
      <c r="M176" s="130">
        <v>31</v>
      </c>
      <c r="N176" s="130">
        <v>11</v>
      </c>
      <c r="O176" s="130">
        <v>10</v>
      </c>
      <c r="P176" s="130">
        <v>12</v>
      </c>
      <c r="Q176" s="130">
        <v>12</v>
      </c>
      <c r="R176" s="130">
        <v>11</v>
      </c>
      <c r="S176" s="130">
        <v>10</v>
      </c>
      <c r="T176" s="130">
        <v>7</v>
      </c>
      <c r="U176" s="130">
        <v>5</v>
      </c>
      <c r="V176" s="130">
        <v>5</v>
      </c>
      <c r="W176" s="130">
        <v>3</v>
      </c>
      <c r="X176" s="130">
        <v>3</v>
      </c>
      <c r="Y176" s="130">
        <v>10</v>
      </c>
      <c r="Z176" s="130">
        <v>3</v>
      </c>
      <c r="AA176" s="130">
        <v>3</v>
      </c>
      <c r="AB176" s="130">
        <v>4</v>
      </c>
      <c r="AC176" s="130">
        <v>5</v>
      </c>
      <c r="AD176" s="130">
        <v>1</v>
      </c>
      <c r="AE176" s="130">
        <v>4</v>
      </c>
      <c r="AF176" s="130">
        <v>1</v>
      </c>
      <c r="AG176" s="130">
        <v>2</v>
      </c>
      <c r="AH176" s="130">
        <v>1</v>
      </c>
      <c r="AI176" s="130">
        <v>1</v>
      </c>
      <c r="AJ176" s="130">
        <v>2</v>
      </c>
      <c r="AK176" s="130">
        <v>1</v>
      </c>
      <c r="AL176" s="130">
        <v>0</v>
      </c>
      <c r="AM176" s="131"/>
      <c r="AN176" s="5">
        <f>SUM(C176:AM176)</f>
        <v>377</v>
      </c>
    </row>
    <row r="177" spans="1:40" x14ac:dyDescent="0.2">
      <c r="A177" s="270"/>
      <c r="B177" s="114">
        <f t="shared" si="94"/>
        <v>9.282178217821782</v>
      </c>
      <c r="C177" s="125">
        <v>24</v>
      </c>
      <c r="D177" s="126">
        <v>10</v>
      </c>
      <c r="E177" s="126">
        <v>14.666666666666666</v>
      </c>
      <c r="F177" s="126">
        <v>17.333333333333336</v>
      </c>
      <c r="G177" s="126">
        <v>19.333333333333332</v>
      </c>
      <c r="H177" s="126">
        <v>12.666666666666668</v>
      </c>
      <c r="I177" s="126">
        <v>8</v>
      </c>
      <c r="J177" s="126">
        <v>14.666666666666666</v>
      </c>
      <c r="K177" s="126">
        <v>14.666666666666666</v>
      </c>
      <c r="L177" s="126">
        <v>10.666666666666668</v>
      </c>
      <c r="M177" s="126">
        <v>20.666666666666668</v>
      </c>
      <c r="N177" s="126">
        <v>7.333333333333333</v>
      </c>
      <c r="O177" s="126">
        <v>6.666666666666667</v>
      </c>
      <c r="P177" s="126">
        <v>8</v>
      </c>
      <c r="Q177" s="126">
        <v>8</v>
      </c>
      <c r="R177" s="126">
        <v>7.333333333333333</v>
      </c>
      <c r="S177" s="126">
        <v>6.666666666666667</v>
      </c>
      <c r="T177" s="126">
        <v>4.666666666666667</v>
      </c>
      <c r="U177" s="126">
        <v>3.3333333333333335</v>
      </c>
      <c r="V177" s="126">
        <v>3.3333333333333335</v>
      </c>
      <c r="W177" s="126">
        <v>2</v>
      </c>
      <c r="X177" s="126">
        <v>2</v>
      </c>
      <c r="Y177" s="126">
        <v>6.666666666666667</v>
      </c>
      <c r="Z177" s="126">
        <v>2</v>
      </c>
      <c r="AA177" s="126">
        <v>2</v>
      </c>
      <c r="AB177" s="126">
        <v>2.666666666666667</v>
      </c>
      <c r="AC177" s="126">
        <v>3.3333333333333335</v>
      </c>
      <c r="AD177" s="126">
        <v>0.66666666666666674</v>
      </c>
      <c r="AE177" s="126">
        <v>2.666666666666667</v>
      </c>
      <c r="AF177" s="126">
        <v>0.66666666666666674</v>
      </c>
      <c r="AG177" s="126">
        <v>1.3333333333333335</v>
      </c>
      <c r="AH177" s="126">
        <v>0.66666666666666674</v>
      </c>
      <c r="AI177" s="126">
        <v>0.66666666666666674</v>
      </c>
      <c r="AJ177" s="126">
        <v>1.3333333333333335</v>
      </c>
      <c r="AK177" s="126">
        <v>0.66666666666666674</v>
      </c>
      <c r="AL177" s="126">
        <v>0</v>
      </c>
      <c r="AM177" s="128"/>
      <c r="AN177" s="195"/>
    </row>
    <row r="178" spans="1:40" ht="13.5" customHeight="1" x14ac:dyDescent="0.2">
      <c r="A178" s="269" t="str">
        <f>A154</f>
        <v>無職(n = 263 )　　</v>
      </c>
      <c r="B178" s="113">
        <f t="shared" si="94"/>
        <v>263</v>
      </c>
      <c r="C178" s="129">
        <v>67</v>
      </c>
      <c r="D178" s="130">
        <v>51</v>
      </c>
      <c r="E178" s="130">
        <v>60</v>
      </c>
      <c r="F178" s="130">
        <v>60</v>
      </c>
      <c r="G178" s="130">
        <v>33</v>
      </c>
      <c r="H178" s="130">
        <v>38</v>
      </c>
      <c r="I178" s="130">
        <v>29</v>
      </c>
      <c r="J178" s="130">
        <v>20</v>
      </c>
      <c r="K178" s="130">
        <v>42</v>
      </c>
      <c r="L178" s="130">
        <v>32</v>
      </c>
      <c r="M178" s="130">
        <v>36</v>
      </c>
      <c r="N178" s="130">
        <v>15</v>
      </c>
      <c r="O178" s="130">
        <v>16</v>
      </c>
      <c r="P178" s="130">
        <v>21</v>
      </c>
      <c r="Q178" s="130">
        <v>21</v>
      </c>
      <c r="R178" s="130">
        <v>17</v>
      </c>
      <c r="S178" s="130">
        <v>16</v>
      </c>
      <c r="T178" s="130">
        <v>15</v>
      </c>
      <c r="U178" s="130">
        <v>18</v>
      </c>
      <c r="V178" s="130">
        <v>10</v>
      </c>
      <c r="W178" s="130">
        <v>11</v>
      </c>
      <c r="X178" s="130">
        <v>5</v>
      </c>
      <c r="Y178" s="130">
        <v>8</v>
      </c>
      <c r="Z178" s="130">
        <v>6</v>
      </c>
      <c r="AA178" s="130">
        <v>7</v>
      </c>
      <c r="AB178" s="130">
        <v>9</v>
      </c>
      <c r="AC178" s="130">
        <v>4</v>
      </c>
      <c r="AD178" s="130">
        <v>3</v>
      </c>
      <c r="AE178" s="130">
        <v>6</v>
      </c>
      <c r="AF178" s="130">
        <v>8</v>
      </c>
      <c r="AG178" s="130">
        <v>5</v>
      </c>
      <c r="AH178" s="130">
        <v>2</v>
      </c>
      <c r="AI178" s="130">
        <v>2</v>
      </c>
      <c r="AJ178" s="130">
        <v>3</v>
      </c>
      <c r="AK178" s="130">
        <v>3</v>
      </c>
      <c r="AL178" s="130">
        <v>6</v>
      </c>
      <c r="AM178" s="131"/>
      <c r="AN178" s="5">
        <f>SUM(C178:AM178)</f>
        <v>705</v>
      </c>
    </row>
    <row r="179" spans="1:40" x14ac:dyDescent="0.2">
      <c r="A179" s="270"/>
      <c r="B179" s="114">
        <f t="shared" si="94"/>
        <v>16.274752475247524</v>
      </c>
      <c r="C179" s="125">
        <v>25.475285171102662</v>
      </c>
      <c r="D179" s="126">
        <v>19.391634980988592</v>
      </c>
      <c r="E179" s="126">
        <v>22.813688212927758</v>
      </c>
      <c r="F179" s="126">
        <v>22.813688212927758</v>
      </c>
      <c r="G179" s="126">
        <v>12.547528517110266</v>
      </c>
      <c r="H179" s="126">
        <v>14.448669201520911</v>
      </c>
      <c r="I179" s="126">
        <v>11.02661596958175</v>
      </c>
      <c r="J179" s="126">
        <v>7.6045627376425857</v>
      </c>
      <c r="K179" s="126">
        <v>15.96958174904943</v>
      </c>
      <c r="L179" s="126">
        <v>12.167300380228136</v>
      </c>
      <c r="M179" s="126">
        <v>13.688212927756654</v>
      </c>
      <c r="N179" s="126">
        <v>5.7034220532319395</v>
      </c>
      <c r="O179" s="126">
        <v>6.083650190114068</v>
      </c>
      <c r="P179" s="126">
        <v>7.9847908745247151</v>
      </c>
      <c r="Q179" s="126">
        <v>7.9847908745247151</v>
      </c>
      <c r="R179" s="126">
        <v>6.4638783269961975</v>
      </c>
      <c r="S179" s="126">
        <v>6.083650190114068</v>
      </c>
      <c r="T179" s="126">
        <v>5.7034220532319395</v>
      </c>
      <c r="U179" s="126">
        <v>6.8441064638783269</v>
      </c>
      <c r="V179" s="126">
        <v>3.8022813688212929</v>
      </c>
      <c r="W179" s="126">
        <v>4.1825095057034218</v>
      </c>
      <c r="X179" s="126">
        <v>1.9011406844106464</v>
      </c>
      <c r="Y179" s="126">
        <v>3.041825095057034</v>
      </c>
      <c r="Z179" s="126">
        <v>2.2813688212927756</v>
      </c>
      <c r="AA179" s="126">
        <v>2.6615969581749046</v>
      </c>
      <c r="AB179" s="126">
        <v>3.4220532319391634</v>
      </c>
      <c r="AC179" s="126">
        <v>1.520912547528517</v>
      </c>
      <c r="AD179" s="126">
        <v>1.1406844106463878</v>
      </c>
      <c r="AE179" s="126">
        <v>2.2813688212927756</v>
      </c>
      <c r="AF179" s="126">
        <v>3.041825095057034</v>
      </c>
      <c r="AG179" s="126">
        <v>1.9011406844106464</v>
      </c>
      <c r="AH179" s="126">
        <v>0.76045627376425851</v>
      </c>
      <c r="AI179" s="126">
        <v>0.76045627376425851</v>
      </c>
      <c r="AJ179" s="126">
        <v>1.1406844106463878</v>
      </c>
      <c r="AK179" s="126">
        <v>1.1406844106463878</v>
      </c>
      <c r="AL179" s="126">
        <v>2.2813688212927756</v>
      </c>
      <c r="AM179" s="128"/>
      <c r="AN179" s="195"/>
    </row>
    <row r="180" spans="1:40" x14ac:dyDescent="0.2">
      <c r="A180" s="269" t="str">
        <f>A156</f>
        <v>その他(n = 18 )　　</v>
      </c>
      <c r="B180" s="113">
        <f t="shared" si="94"/>
        <v>18</v>
      </c>
      <c r="C180" s="129">
        <v>6</v>
      </c>
      <c r="D180" s="130">
        <v>4</v>
      </c>
      <c r="E180" s="130">
        <v>4</v>
      </c>
      <c r="F180" s="130">
        <v>1</v>
      </c>
      <c r="G180" s="130">
        <v>1</v>
      </c>
      <c r="H180" s="130">
        <v>1</v>
      </c>
      <c r="I180" s="130">
        <v>4</v>
      </c>
      <c r="J180" s="130">
        <v>0</v>
      </c>
      <c r="K180" s="130">
        <v>6</v>
      </c>
      <c r="L180" s="130">
        <v>5</v>
      </c>
      <c r="M180" s="130">
        <v>2</v>
      </c>
      <c r="N180" s="130">
        <v>2</v>
      </c>
      <c r="O180" s="130">
        <v>0</v>
      </c>
      <c r="P180" s="130">
        <v>2</v>
      </c>
      <c r="Q180" s="130">
        <v>2</v>
      </c>
      <c r="R180" s="130">
        <v>1</v>
      </c>
      <c r="S180" s="130">
        <v>2</v>
      </c>
      <c r="T180" s="130">
        <v>1</v>
      </c>
      <c r="U180" s="130">
        <v>2</v>
      </c>
      <c r="V180" s="130">
        <v>1</v>
      </c>
      <c r="W180" s="130">
        <v>0</v>
      </c>
      <c r="X180" s="130">
        <v>1</v>
      </c>
      <c r="Y180" s="130">
        <v>4</v>
      </c>
      <c r="Z180" s="130">
        <v>0</v>
      </c>
      <c r="AA180" s="130">
        <v>1</v>
      </c>
      <c r="AB180" s="130">
        <v>0</v>
      </c>
      <c r="AC180" s="130">
        <v>0</v>
      </c>
      <c r="AD180" s="130">
        <v>1</v>
      </c>
      <c r="AE180" s="130">
        <v>0</v>
      </c>
      <c r="AF180" s="130">
        <v>1</v>
      </c>
      <c r="AG180" s="130">
        <v>0</v>
      </c>
      <c r="AH180" s="130">
        <v>1</v>
      </c>
      <c r="AI180" s="130">
        <v>0</v>
      </c>
      <c r="AJ180" s="130">
        <v>0</v>
      </c>
      <c r="AK180" s="130">
        <v>0</v>
      </c>
      <c r="AL180" s="130">
        <v>1</v>
      </c>
      <c r="AM180" s="131"/>
      <c r="AN180" s="5">
        <f>SUM(C180:AM180)</f>
        <v>57</v>
      </c>
    </row>
    <row r="181" spans="1:40" x14ac:dyDescent="0.2">
      <c r="A181" s="270"/>
      <c r="B181" s="114">
        <f t="shared" si="94"/>
        <v>1.1138613861386137</v>
      </c>
      <c r="C181" s="125">
        <v>33.333333333333329</v>
      </c>
      <c r="D181" s="126">
        <v>22.222222222222221</v>
      </c>
      <c r="E181" s="126">
        <v>22.222222222222221</v>
      </c>
      <c r="F181" s="126">
        <v>5.5555555555555554</v>
      </c>
      <c r="G181" s="126">
        <v>5.5555555555555554</v>
      </c>
      <c r="H181" s="126">
        <v>5.5555555555555554</v>
      </c>
      <c r="I181" s="126">
        <v>22.222222222222221</v>
      </c>
      <c r="J181" s="126">
        <v>0</v>
      </c>
      <c r="K181" s="126">
        <v>33.333333333333329</v>
      </c>
      <c r="L181" s="126">
        <v>27.777777777777779</v>
      </c>
      <c r="M181" s="126">
        <v>11.111111111111111</v>
      </c>
      <c r="N181" s="126">
        <v>11.111111111111111</v>
      </c>
      <c r="O181" s="126">
        <v>0</v>
      </c>
      <c r="P181" s="126">
        <v>11.111111111111111</v>
      </c>
      <c r="Q181" s="126">
        <v>11.111111111111111</v>
      </c>
      <c r="R181" s="126">
        <v>5.5555555555555554</v>
      </c>
      <c r="S181" s="126">
        <v>11.111111111111111</v>
      </c>
      <c r="T181" s="126">
        <v>5.5555555555555554</v>
      </c>
      <c r="U181" s="126">
        <v>11.111111111111111</v>
      </c>
      <c r="V181" s="126">
        <v>5.5555555555555554</v>
      </c>
      <c r="W181" s="126">
        <v>0</v>
      </c>
      <c r="X181" s="126">
        <v>5.5555555555555554</v>
      </c>
      <c r="Y181" s="126">
        <v>22.222222222222221</v>
      </c>
      <c r="Z181" s="126">
        <v>0</v>
      </c>
      <c r="AA181" s="126">
        <v>5.5555555555555554</v>
      </c>
      <c r="AB181" s="126">
        <v>0</v>
      </c>
      <c r="AC181" s="126">
        <v>0</v>
      </c>
      <c r="AD181" s="126">
        <v>5.5555555555555554</v>
      </c>
      <c r="AE181" s="126">
        <v>0</v>
      </c>
      <c r="AF181" s="126">
        <v>5.5555555555555554</v>
      </c>
      <c r="AG181" s="126">
        <v>0</v>
      </c>
      <c r="AH181" s="126">
        <v>5.5555555555555554</v>
      </c>
      <c r="AI181" s="126">
        <v>0</v>
      </c>
      <c r="AJ181" s="126">
        <v>0</v>
      </c>
      <c r="AK181" s="126">
        <v>0</v>
      </c>
      <c r="AL181" s="126">
        <v>5.5555555555555554</v>
      </c>
      <c r="AM181" s="128"/>
      <c r="AN181" s="195"/>
    </row>
    <row r="182" spans="1:40" x14ac:dyDescent="0.2">
      <c r="A182" s="184"/>
      <c r="B182" s="182"/>
      <c r="C182" s="182">
        <v>1</v>
      </c>
      <c r="D182" s="182">
        <v>2</v>
      </c>
      <c r="E182" s="182">
        <v>3</v>
      </c>
      <c r="F182" s="182">
        <v>4</v>
      </c>
      <c r="G182" s="182">
        <v>5</v>
      </c>
      <c r="H182" s="182">
        <v>6</v>
      </c>
      <c r="I182" s="182">
        <v>7</v>
      </c>
      <c r="J182" s="182">
        <v>8</v>
      </c>
      <c r="K182" s="182">
        <v>9</v>
      </c>
      <c r="L182" s="182">
        <v>10</v>
      </c>
      <c r="M182" s="182">
        <v>11</v>
      </c>
      <c r="N182" s="182">
        <v>12</v>
      </c>
      <c r="O182" s="182">
        <v>13</v>
      </c>
      <c r="P182" s="182">
        <v>14</v>
      </c>
      <c r="Q182" s="182">
        <v>15</v>
      </c>
      <c r="R182" s="182">
        <v>16</v>
      </c>
      <c r="S182" s="182">
        <v>17</v>
      </c>
      <c r="T182" s="182">
        <v>18</v>
      </c>
      <c r="U182" s="182">
        <v>19</v>
      </c>
      <c r="V182" s="182">
        <v>20</v>
      </c>
      <c r="W182" s="182">
        <v>21</v>
      </c>
      <c r="X182" s="182">
        <v>22</v>
      </c>
      <c r="Y182" s="182">
        <v>23</v>
      </c>
      <c r="Z182" s="182">
        <v>24</v>
      </c>
      <c r="AA182" s="182">
        <v>25</v>
      </c>
      <c r="AB182" s="182">
        <v>26</v>
      </c>
      <c r="AC182" s="182">
        <v>27</v>
      </c>
      <c r="AD182" s="182">
        <v>28</v>
      </c>
      <c r="AE182" s="182">
        <v>29</v>
      </c>
      <c r="AF182" s="182">
        <v>30</v>
      </c>
      <c r="AG182" s="182">
        <v>31</v>
      </c>
      <c r="AH182" s="182">
        <v>32</v>
      </c>
      <c r="AI182" s="182">
        <v>32</v>
      </c>
      <c r="AJ182" s="185">
        <v>34</v>
      </c>
      <c r="AK182" s="185">
        <v>35</v>
      </c>
      <c r="AL182" s="185">
        <v>36</v>
      </c>
      <c r="AM182" s="185">
        <v>37</v>
      </c>
      <c r="AN182" s="195"/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195"/>
    </row>
    <row r="184" spans="1:40" ht="12.75" customHeight="1" x14ac:dyDescent="0.2">
      <c r="A184" s="6" t="s">
        <v>370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  <c r="M184" s="27"/>
    </row>
    <row r="185" spans="1:40" ht="32.4" x14ac:dyDescent="0.2">
      <c r="A185" s="12" t="str">
        <f>A137</f>
        <v>【職業別】</v>
      </c>
      <c r="B185" s="59" t="str">
        <f>B122</f>
        <v>調査数</v>
      </c>
      <c r="C185" s="60" t="str">
        <f t="shared" ref="C185:L185" si="95">C161</f>
        <v>防災対策</v>
      </c>
      <c r="D185" s="61" t="str">
        <f t="shared" si="95"/>
        <v>道路整備・維持管理</v>
      </c>
      <c r="E185" s="61" t="str">
        <f t="shared" si="95"/>
        <v>高齢者福祉</v>
      </c>
      <c r="F185" s="61" t="str">
        <f t="shared" si="95"/>
        <v>地域医療の確保</v>
      </c>
      <c r="G185" s="61" t="str">
        <f t="shared" si="95"/>
        <v>子育て支援</v>
      </c>
      <c r="H185" s="61" t="str">
        <f t="shared" si="95"/>
        <v>防犯・交通安全対策</v>
      </c>
      <c r="I185" s="62" t="str">
        <f t="shared" si="95"/>
        <v>河川整備・維持管理</v>
      </c>
      <c r="J185" s="61" t="str">
        <f t="shared" si="95"/>
        <v>自然環境保全</v>
      </c>
      <c r="K185" s="62" t="str">
        <f t="shared" si="95"/>
        <v>廃棄物対策</v>
      </c>
      <c r="L185" s="63" t="str">
        <f t="shared" si="95"/>
        <v>観光振興</v>
      </c>
      <c r="M185" s="63"/>
    </row>
    <row r="186" spans="1:40" ht="12.75" customHeight="1" x14ac:dyDescent="0.2">
      <c r="A186" s="269" t="str">
        <f>A138</f>
        <v>全体(n = 1,616 )　　</v>
      </c>
      <c r="B186" s="113">
        <f t="shared" ref="B186:B205" si="96">B138</f>
        <v>1616</v>
      </c>
      <c r="C186" s="121">
        <f t="shared" ref="C186:L186" si="97">C162</f>
        <v>453</v>
      </c>
      <c r="D186" s="122">
        <f t="shared" si="97"/>
        <v>296</v>
      </c>
      <c r="E186" s="122">
        <f t="shared" si="97"/>
        <v>287</v>
      </c>
      <c r="F186" s="122">
        <f t="shared" si="97"/>
        <v>284</v>
      </c>
      <c r="G186" s="122">
        <f t="shared" si="97"/>
        <v>248</v>
      </c>
      <c r="H186" s="122">
        <f t="shared" si="97"/>
        <v>237</v>
      </c>
      <c r="I186" s="123">
        <f t="shared" si="97"/>
        <v>213</v>
      </c>
      <c r="J186" s="122">
        <f t="shared" si="97"/>
        <v>203</v>
      </c>
      <c r="K186" s="123">
        <f t="shared" si="97"/>
        <v>194</v>
      </c>
      <c r="L186" s="124">
        <f t="shared" si="97"/>
        <v>180</v>
      </c>
      <c r="M186" s="124"/>
    </row>
    <row r="187" spans="1:40" ht="12.75" customHeight="1" x14ac:dyDescent="0.2">
      <c r="A187" s="270"/>
      <c r="B187" s="114">
        <f t="shared" si="96"/>
        <v>100</v>
      </c>
      <c r="C187" s="125">
        <f t="shared" ref="C187:L187" si="98">C163</f>
        <v>28.032178217821784</v>
      </c>
      <c r="D187" s="126">
        <f t="shared" si="98"/>
        <v>18.316831683168317</v>
      </c>
      <c r="E187" s="126">
        <f t="shared" si="98"/>
        <v>17.759900990099009</v>
      </c>
      <c r="F187" s="126">
        <f t="shared" si="98"/>
        <v>17.574257425742573</v>
      </c>
      <c r="G187" s="126">
        <f t="shared" si="98"/>
        <v>15.346534653465346</v>
      </c>
      <c r="H187" s="126">
        <f t="shared" si="98"/>
        <v>14.665841584158414</v>
      </c>
      <c r="I187" s="127">
        <f t="shared" si="98"/>
        <v>13.180693069306932</v>
      </c>
      <c r="J187" s="126">
        <f t="shared" si="98"/>
        <v>12.561881188118813</v>
      </c>
      <c r="K187" s="127">
        <f t="shared" si="98"/>
        <v>12.004950495049505</v>
      </c>
      <c r="L187" s="128">
        <f t="shared" si="98"/>
        <v>11.138613861386139</v>
      </c>
      <c r="M187" s="128"/>
    </row>
    <row r="188" spans="1:40" ht="12.75" customHeight="1" x14ac:dyDescent="0.2">
      <c r="A188" s="269" t="str">
        <f>A140</f>
        <v>自営業(n = 175 )　　</v>
      </c>
      <c r="B188" s="113">
        <f t="shared" si="96"/>
        <v>175</v>
      </c>
      <c r="C188" s="129">
        <f t="shared" ref="C188:L188" si="99">C164</f>
        <v>56</v>
      </c>
      <c r="D188" s="130">
        <f t="shared" si="99"/>
        <v>38</v>
      </c>
      <c r="E188" s="130">
        <f t="shared" si="99"/>
        <v>36</v>
      </c>
      <c r="F188" s="130">
        <f t="shared" si="99"/>
        <v>30</v>
      </c>
      <c r="G188" s="130">
        <f t="shared" si="99"/>
        <v>24</v>
      </c>
      <c r="H188" s="130">
        <f t="shared" si="99"/>
        <v>28</v>
      </c>
      <c r="I188" s="140">
        <f t="shared" si="99"/>
        <v>18</v>
      </c>
      <c r="J188" s="130">
        <f t="shared" si="99"/>
        <v>23</v>
      </c>
      <c r="K188" s="140">
        <f t="shared" si="99"/>
        <v>22</v>
      </c>
      <c r="L188" s="131">
        <f t="shared" si="99"/>
        <v>25</v>
      </c>
      <c r="M188" s="131"/>
    </row>
    <row r="189" spans="1:40" ht="13.5" customHeight="1" x14ac:dyDescent="0.2">
      <c r="A189" s="270"/>
      <c r="B189" s="114">
        <f t="shared" si="96"/>
        <v>10.829207920792079</v>
      </c>
      <c r="C189" s="125">
        <f t="shared" ref="C189:L189" si="100">C165</f>
        <v>32</v>
      </c>
      <c r="D189" s="126">
        <f t="shared" si="100"/>
        <v>21.714285714285715</v>
      </c>
      <c r="E189" s="126">
        <f t="shared" si="100"/>
        <v>20.571428571428569</v>
      </c>
      <c r="F189" s="126">
        <f t="shared" si="100"/>
        <v>17.142857142857142</v>
      </c>
      <c r="G189" s="126">
        <f t="shared" si="100"/>
        <v>13.714285714285715</v>
      </c>
      <c r="H189" s="126">
        <f t="shared" si="100"/>
        <v>16</v>
      </c>
      <c r="I189" s="127">
        <f t="shared" si="100"/>
        <v>10.285714285714285</v>
      </c>
      <c r="J189" s="126">
        <f t="shared" si="100"/>
        <v>13.142857142857142</v>
      </c>
      <c r="K189" s="127">
        <f t="shared" si="100"/>
        <v>12.571428571428573</v>
      </c>
      <c r="L189" s="128">
        <f t="shared" si="100"/>
        <v>14.285714285714285</v>
      </c>
      <c r="M189" s="128"/>
    </row>
    <row r="190" spans="1:40" ht="13.5" customHeight="1" x14ac:dyDescent="0.2">
      <c r="A190" s="269" t="str">
        <f>A142</f>
        <v>自由業(※1)(n = 12 )　　</v>
      </c>
      <c r="B190" s="113">
        <f t="shared" si="96"/>
        <v>12</v>
      </c>
      <c r="C190" s="129">
        <f t="shared" ref="C190:L190" si="101">C166</f>
        <v>3</v>
      </c>
      <c r="D190" s="130">
        <f t="shared" si="101"/>
        <v>3</v>
      </c>
      <c r="E190" s="130">
        <f t="shared" si="101"/>
        <v>4</v>
      </c>
      <c r="F190" s="130">
        <f t="shared" si="101"/>
        <v>1</v>
      </c>
      <c r="G190" s="130">
        <f t="shared" si="101"/>
        <v>1</v>
      </c>
      <c r="H190" s="130">
        <f t="shared" si="101"/>
        <v>2</v>
      </c>
      <c r="I190" s="140">
        <f t="shared" si="101"/>
        <v>1</v>
      </c>
      <c r="J190" s="130">
        <f t="shared" si="101"/>
        <v>1</v>
      </c>
      <c r="K190" s="140">
        <f t="shared" si="101"/>
        <v>1</v>
      </c>
      <c r="L190" s="131">
        <f t="shared" si="101"/>
        <v>3</v>
      </c>
      <c r="M190" s="131"/>
    </row>
    <row r="191" spans="1:40" ht="13.5" customHeight="1" x14ac:dyDescent="0.2">
      <c r="A191" s="270"/>
      <c r="B191" s="114">
        <f t="shared" si="96"/>
        <v>0.74257425742574257</v>
      </c>
      <c r="C191" s="125">
        <f t="shared" ref="C191:L191" si="102">C167</f>
        <v>25</v>
      </c>
      <c r="D191" s="126">
        <f t="shared" si="102"/>
        <v>25</v>
      </c>
      <c r="E191" s="126">
        <f t="shared" si="102"/>
        <v>33.333333333333329</v>
      </c>
      <c r="F191" s="126">
        <f t="shared" si="102"/>
        <v>8.3333333333333321</v>
      </c>
      <c r="G191" s="126">
        <f t="shared" si="102"/>
        <v>8.3333333333333321</v>
      </c>
      <c r="H191" s="126">
        <f t="shared" si="102"/>
        <v>16.666666666666664</v>
      </c>
      <c r="I191" s="127">
        <f t="shared" si="102"/>
        <v>8.3333333333333321</v>
      </c>
      <c r="J191" s="126">
        <f t="shared" si="102"/>
        <v>8.3333333333333321</v>
      </c>
      <c r="K191" s="127">
        <f t="shared" si="102"/>
        <v>8.3333333333333321</v>
      </c>
      <c r="L191" s="128">
        <f t="shared" si="102"/>
        <v>25</v>
      </c>
      <c r="M191" s="128"/>
    </row>
    <row r="192" spans="1:40" ht="13.5" customHeight="1" x14ac:dyDescent="0.2">
      <c r="A192" s="269" t="str">
        <f>A144</f>
        <v>会社・団体役員(n = 171 )　　</v>
      </c>
      <c r="B192" s="113">
        <f t="shared" si="96"/>
        <v>171</v>
      </c>
      <c r="C192" s="129">
        <f t="shared" ref="C192:L192" si="103">C168</f>
        <v>58</v>
      </c>
      <c r="D192" s="130">
        <f t="shared" si="103"/>
        <v>34</v>
      </c>
      <c r="E192" s="130">
        <f t="shared" si="103"/>
        <v>33</v>
      </c>
      <c r="F192" s="130">
        <f t="shared" si="103"/>
        <v>25</v>
      </c>
      <c r="G192" s="130">
        <f t="shared" si="103"/>
        <v>25</v>
      </c>
      <c r="H192" s="130">
        <f t="shared" si="103"/>
        <v>24</v>
      </c>
      <c r="I192" s="140">
        <f t="shared" si="103"/>
        <v>29</v>
      </c>
      <c r="J192" s="130">
        <f t="shared" si="103"/>
        <v>30</v>
      </c>
      <c r="K192" s="140">
        <f t="shared" si="103"/>
        <v>19</v>
      </c>
      <c r="L192" s="131">
        <f t="shared" si="103"/>
        <v>11</v>
      </c>
      <c r="M192" s="131"/>
    </row>
    <row r="193" spans="1:35" x14ac:dyDescent="0.2">
      <c r="A193" s="270"/>
      <c r="B193" s="114">
        <f t="shared" si="96"/>
        <v>10.581683168316831</v>
      </c>
      <c r="C193" s="125">
        <f t="shared" ref="C193:L193" si="104">C169</f>
        <v>33.918128654970758</v>
      </c>
      <c r="D193" s="126">
        <f t="shared" si="104"/>
        <v>19.883040935672515</v>
      </c>
      <c r="E193" s="126">
        <f t="shared" si="104"/>
        <v>19.298245614035086</v>
      </c>
      <c r="F193" s="126">
        <f t="shared" si="104"/>
        <v>14.619883040935672</v>
      </c>
      <c r="G193" s="126">
        <f t="shared" si="104"/>
        <v>14.619883040935672</v>
      </c>
      <c r="H193" s="126">
        <f t="shared" si="104"/>
        <v>14.035087719298245</v>
      </c>
      <c r="I193" s="127">
        <f t="shared" si="104"/>
        <v>16.959064327485379</v>
      </c>
      <c r="J193" s="126">
        <f t="shared" si="104"/>
        <v>17.543859649122805</v>
      </c>
      <c r="K193" s="127">
        <f t="shared" si="104"/>
        <v>11.111111111111111</v>
      </c>
      <c r="L193" s="128">
        <f t="shared" si="104"/>
        <v>6.4327485380116958</v>
      </c>
      <c r="M193" s="128"/>
    </row>
    <row r="194" spans="1:35" x14ac:dyDescent="0.2">
      <c r="A194" s="269" t="str">
        <f>A146</f>
        <v>正規の従業員・職員(n = 423 )　　</v>
      </c>
      <c r="B194" s="113">
        <f t="shared" si="96"/>
        <v>423</v>
      </c>
      <c r="C194" s="129">
        <f t="shared" ref="C194:L194" si="105">C170</f>
        <v>118</v>
      </c>
      <c r="D194" s="130">
        <f t="shared" si="105"/>
        <v>84</v>
      </c>
      <c r="E194" s="130">
        <f t="shared" si="105"/>
        <v>62</v>
      </c>
      <c r="F194" s="130">
        <f t="shared" si="105"/>
        <v>77</v>
      </c>
      <c r="G194" s="130">
        <f t="shared" si="105"/>
        <v>67</v>
      </c>
      <c r="H194" s="130">
        <f t="shared" si="105"/>
        <v>63</v>
      </c>
      <c r="I194" s="140">
        <f t="shared" si="105"/>
        <v>58</v>
      </c>
      <c r="J194" s="130">
        <f t="shared" si="105"/>
        <v>51</v>
      </c>
      <c r="K194" s="140">
        <f t="shared" si="105"/>
        <v>41</v>
      </c>
      <c r="L194" s="131">
        <f t="shared" si="105"/>
        <v>46</v>
      </c>
      <c r="M194" s="131"/>
    </row>
    <row r="195" spans="1:35" x14ac:dyDescent="0.2">
      <c r="A195" s="270"/>
      <c r="B195" s="114">
        <f t="shared" si="96"/>
        <v>26.175742574257427</v>
      </c>
      <c r="C195" s="125">
        <f t="shared" ref="C195:L195" si="106">C171</f>
        <v>27.895981087470449</v>
      </c>
      <c r="D195" s="126">
        <f t="shared" si="106"/>
        <v>19.858156028368796</v>
      </c>
      <c r="E195" s="126">
        <f t="shared" si="106"/>
        <v>14.657210401891252</v>
      </c>
      <c r="F195" s="126">
        <f t="shared" si="106"/>
        <v>18.203309692671397</v>
      </c>
      <c r="G195" s="126">
        <f t="shared" si="106"/>
        <v>15.839243498817968</v>
      </c>
      <c r="H195" s="126">
        <f t="shared" si="106"/>
        <v>14.893617021276595</v>
      </c>
      <c r="I195" s="127">
        <f t="shared" si="106"/>
        <v>13.711583924349883</v>
      </c>
      <c r="J195" s="126">
        <f t="shared" si="106"/>
        <v>12.056737588652481</v>
      </c>
      <c r="K195" s="127">
        <f t="shared" si="106"/>
        <v>9.6926713947990546</v>
      </c>
      <c r="L195" s="128">
        <f t="shared" si="106"/>
        <v>10.874704491725769</v>
      </c>
      <c r="M195" s="128"/>
    </row>
    <row r="196" spans="1:35" ht="13.5" customHeight="1" x14ac:dyDescent="0.2">
      <c r="A196" s="269" t="str">
        <f>A148</f>
        <v>パートタイム・アルバイト・派遣(n = 346 )　　</v>
      </c>
      <c r="B196" s="113">
        <f t="shared" si="96"/>
        <v>346</v>
      </c>
      <c r="C196" s="129">
        <f t="shared" ref="C196:L196" si="107">C172</f>
        <v>89</v>
      </c>
      <c r="D196" s="130">
        <f t="shared" si="107"/>
        <v>58</v>
      </c>
      <c r="E196" s="130">
        <f t="shared" si="107"/>
        <v>58</v>
      </c>
      <c r="F196" s="130">
        <f t="shared" si="107"/>
        <v>56</v>
      </c>
      <c r="G196" s="130">
        <f t="shared" si="107"/>
        <v>61</v>
      </c>
      <c r="H196" s="130">
        <f t="shared" si="107"/>
        <v>50</v>
      </c>
      <c r="I196" s="140">
        <f t="shared" si="107"/>
        <v>52</v>
      </c>
      <c r="J196" s="130">
        <f t="shared" si="107"/>
        <v>51</v>
      </c>
      <c r="K196" s="140">
        <f t="shared" si="107"/>
        <v>36</v>
      </c>
      <c r="L196" s="131">
        <f t="shared" si="107"/>
        <v>34</v>
      </c>
      <c r="M196" s="131"/>
    </row>
    <row r="197" spans="1:35" ht="13.5" customHeight="1" x14ac:dyDescent="0.2">
      <c r="A197" s="270"/>
      <c r="B197" s="114">
        <f t="shared" si="96"/>
        <v>21.410891089108912</v>
      </c>
      <c r="C197" s="125">
        <f t="shared" ref="C197:L197" si="108">C173</f>
        <v>25.722543352601157</v>
      </c>
      <c r="D197" s="126">
        <f t="shared" si="108"/>
        <v>16.76300578034682</v>
      </c>
      <c r="E197" s="126">
        <f t="shared" si="108"/>
        <v>16.76300578034682</v>
      </c>
      <c r="F197" s="126">
        <f t="shared" si="108"/>
        <v>16.184971098265898</v>
      </c>
      <c r="G197" s="126">
        <f t="shared" si="108"/>
        <v>17.630057803468208</v>
      </c>
      <c r="H197" s="126">
        <f t="shared" si="108"/>
        <v>14.450867052023122</v>
      </c>
      <c r="I197" s="127">
        <f t="shared" si="108"/>
        <v>15.028901734104046</v>
      </c>
      <c r="J197" s="126">
        <f t="shared" si="108"/>
        <v>14.739884393063585</v>
      </c>
      <c r="K197" s="127">
        <f t="shared" si="108"/>
        <v>10.404624277456648</v>
      </c>
      <c r="L197" s="128">
        <f t="shared" si="108"/>
        <v>9.8265895953757223</v>
      </c>
      <c r="M197" s="128"/>
    </row>
    <row r="198" spans="1:35" ht="13.5" customHeight="1" x14ac:dyDescent="0.2">
      <c r="A198" s="269" t="str">
        <f>A150</f>
        <v>学生(n = 44 )　　</v>
      </c>
      <c r="B198" s="113">
        <f t="shared" si="96"/>
        <v>44</v>
      </c>
      <c r="C198" s="129">
        <f t="shared" ref="C198:L198" si="109">C174</f>
        <v>16</v>
      </c>
      <c r="D198" s="130">
        <f t="shared" si="109"/>
        <v>8</v>
      </c>
      <c r="E198" s="130">
        <f t="shared" si="109"/>
        <v>5</v>
      </c>
      <c r="F198" s="130">
        <f t="shared" si="109"/>
        <v>6</v>
      </c>
      <c r="G198" s="130">
        <f t="shared" si="109"/>
        <v>4</v>
      </c>
      <c r="H198" s="130">
        <f t="shared" si="109"/>
        <v>10</v>
      </c>
      <c r="I198" s="140">
        <f t="shared" si="109"/>
        <v>9</v>
      </c>
      <c r="J198" s="130">
        <f t="shared" si="109"/>
        <v>5</v>
      </c>
      <c r="K198" s="140">
        <f t="shared" si="109"/>
        <v>3</v>
      </c>
      <c r="L198" s="131">
        <f t="shared" si="109"/>
        <v>7</v>
      </c>
      <c r="M198" s="131"/>
    </row>
    <row r="199" spans="1:35" ht="13.5" customHeight="1" x14ac:dyDescent="0.2">
      <c r="A199" s="270"/>
      <c r="B199" s="114">
        <f t="shared" si="96"/>
        <v>2.722772277227723</v>
      </c>
      <c r="C199" s="125">
        <f t="shared" ref="C199:L199" si="110">C175</f>
        <v>36.363636363636367</v>
      </c>
      <c r="D199" s="126">
        <f t="shared" si="110"/>
        <v>18.181818181818183</v>
      </c>
      <c r="E199" s="126">
        <f t="shared" si="110"/>
        <v>11.363636363636363</v>
      </c>
      <c r="F199" s="126">
        <f t="shared" si="110"/>
        <v>13.636363636363635</v>
      </c>
      <c r="G199" s="126">
        <f t="shared" si="110"/>
        <v>9.0909090909090917</v>
      </c>
      <c r="H199" s="126">
        <f t="shared" si="110"/>
        <v>22.727272727272727</v>
      </c>
      <c r="I199" s="127">
        <f t="shared" si="110"/>
        <v>20.454545454545457</v>
      </c>
      <c r="J199" s="126">
        <f t="shared" si="110"/>
        <v>11.363636363636363</v>
      </c>
      <c r="K199" s="127">
        <f t="shared" si="110"/>
        <v>6.8181818181818175</v>
      </c>
      <c r="L199" s="128">
        <f t="shared" si="110"/>
        <v>15.909090909090908</v>
      </c>
      <c r="M199" s="128"/>
    </row>
    <row r="200" spans="1:35" ht="13.5" customHeight="1" x14ac:dyDescent="0.2">
      <c r="A200" s="269" t="str">
        <f>A152</f>
        <v>家事従事(n = 150 )　　</v>
      </c>
      <c r="B200" s="113">
        <f t="shared" si="96"/>
        <v>150</v>
      </c>
      <c r="C200" s="129">
        <f t="shared" ref="C200:L200" si="111">C176</f>
        <v>36</v>
      </c>
      <c r="D200" s="130">
        <f t="shared" si="111"/>
        <v>15</v>
      </c>
      <c r="E200" s="130">
        <f t="shared" si="111"/>
        <v>22</v>
      </c>
      <c r="F200" s="130">
        <f t="shared" si="111"/>
        <v>26</v>
      </c>
      <c r="G200" s="130">
        <f t="shared" si="111"/>
        <v>29</v>
      </c>
      <c r="H200" s="130">
        <f t="shared" si="111"/>
        <v>19</v>
      </c>
      <c r="I200" s="140">
        <f t="shared" si="111"/>
        <v>12</v>
      </c>
      <c r="J200" s="130">
        <f t="shared" si="111"/>
        <v>22</v>
      </c>
      <c r="K200" s="140">
        <f t="shared" si="111"/>
        <v>22</v>
      </c>
      <c r="L200" s="131">
        <f t="shared" si="111"/>
        <v>16</v>
      </c>
      <c r="M200" s="131"/>
    </row>
    <row r="201" spans="1:35" ht="13.5" customHeight="1" x14ac:dyDescent="0.2">
      <c r="A201" s="270"/>
      <c r="B201" s="114">
        <f t="shared" si="96"/>
        <v>9.282178217821782</v>
      </c>
      <c r="C201" s="125">
        <f t="shared" ref="C201:L201" si="112">C177</f>
        <v>24</v>
      </c>
      <c r="D201" s="126">
        <f t="shared" si="112"/>
        <v>10</v>
      </c>
      <c r="E201" s="126">
        <f t="shared" si="112"/>
        <v>14.666666666666666</v>
      </c>
      <c r="F201" s="126">
        <f t="shared" si="112"/>
        <v>17.333333333333336</v>
      </c>
      <c r="G201" s="126">
        <f t="shared" si="112"/>
        <v>19.333333333333332</v>
      </c>
      <c r="H201" s="126">
        <f t="shared" si="112"/>
        <v>12.666666666666668</v>
      </c>
      <c r="I201" s="127">
        <f t="shared" si="112"/>
        <v>8</v>
      </c>
      <c r="J201" s="126">
        <f t="shared" si="112"/>
        <v>14.666666666666666</v>
      </c>
      <c r="K201" s="127">
        <f t="shared" si="112"/>
        <v>14.666666666666666</v>
      </c>
      <c r="L201" s="128">
        <f t="shared" si="112"/>
        <v>10.666666666666668</v>
      </c>
      <c r="M201" s="128"/>
    </row>
    <row r="202" spans="1:35" ht="13.5" customHeight="1" x14ac:dyDescent="0.2">
      <c r="A202" s="269" t="str">
        <f>A154</f>
        <v>無職(n = 263 )　　</v>
      </c>
      <c r="B202" s="113">
        <f t="shared" si="96"/>
        <v>263</v>
      </c>
      <c r="C202" s="129">
        <f t="shared" ref="C202:L202" si="113">C178</f>
        <v>67</v>
      </c>
      <c r="D202" s="130">
        <f t="shared" si="113"/>
        <v>51</v>
      </c>
      <c r="E202" s="130">
        <f t="shared" si="113"/>
        <v>60</v>
      </c>
      <c r="F202" s="130">
        <f t="shared" si="113"/>
        <v>60</v>
      </c>
      <c r="G202" s="130">
        <f t="shared" si="113"/>
        <v>33</v>
      </c>
      <c r="H202" s="130">
        <f t="shared" si="113"/>
        <v>38</v>
      </c>
      <c r="I202" s="140">
        <f t="shared" si="113"/>
        <v>29</v>
      </c>
      <c r="J202" s="130">
        <f t="shared" si="113"/>
        <v>20</v>
      </c>
      <c r="K202" s="140">
        <f t="shared" si="113"/>
        <v>42</v>
      </c>
      <c r="L202" s="131">
        <f t="shared" si="113"/>
        <v>32</v>
      </c>
      <c r="M202" s="131"/>
    </row>
    <row r="203" spans="1:35" x14ac:dyDescent="0.2">
      <c r="A203" s="270"/>
      <c r="B203" s="114">
        <f t="shared" si="96"/>
        <v>16.274752475247524</v>
      </c>
      <c r="C203" s="125">
        <f t="shared" ref="C203:L203" si="114">C179</f>
        <v>25.475285171102662</v>
      </c>
      <c r="D203" s="126">
        <f t="shared" si="114"/>
        <v>19.391634980988592</v>
      </c>
      <c r="E203" s="126">
        <f t="shared" si="114"/>
        <v>22.813688212927758</v>
      </c>
      <c r="F203" s="126">
        <f t="shared" si="114"/>
        <v>22.813688212927758</v>
      </c>
      <c r="G203" s="126">
        <f t="shared" si="114"/>
        <v>12.547528517110266</v>
      </c>
      <c r="H203" s="126">
        <f t="shared" si="114"/>
        <v>14.448669201520911</v>
      </c>
      <c r="I203" s="127">
        <f t="shared" si="114"/>
        <v>11.02661596958175</v>
      </c>
      <c r="J203" s="126">
        <f t="shared" si="114"/>
        <v>7.6045627376425857</v>
      </c>
      <c r="K203" s="127">
        <f t="shared" si="114"/>
        <v>15.96958174904943</v>
      </c>
      <c r="L203" s="128">
        <f t="shared" si="114"/>
        <v>12.167300380228136</v>
      </c>
      <c r="M203" s="128"/>
    </row>
    <row r="204" spans="1:35" x14ac:dyDescent="0.2">
      <c r="A204" s="269" t="str">
        <f>A156</f>
        <v>その他(n = 18 )　　</v>
      </c>
      <c r="B204" s="113">
        <f t="shared" si="96"/>
        <v>18</v>
      </c>
      <c r="C204" s="129">
        <f t="shared" ref="C204:L204" si="115">C180</f>
        <v>6</v>
      </c>
      <c r="D204" s="130">
        <f t="shared" si="115"/>
        <v>4</v>
      </c>
      <c r="E204" s="130">
        <f t="shared" si="115"/>
        <v>4</v>
      </c>
      <c r="F204" s="130">
        <f t="shared" si="115"/>
        <v>1</v>
      </c>
      <c r="G204" s="130">
        <f t="shared" si="115"/>
        <v>1</v>
      </c>
      <c r="H204" s="130">
        <f t="shared" si="115"/>
        <v>1</v>
      </c>
      <c r="I204" s="140">
        <f t="shared" si="115"/>
        <v>4</v>
      </c>
      <c r="J204" s="130">
        <f t="shared" si="115"/>
        <v>0</v>
      </c>
      <c r="K204" s="140">
        <f t="shared" si="115"/>
        <v>6</v>
      </c>
      <c r="L204" s="131">
        <f t="shared" si="115"/>
        <v>5</v>
      </c>
      <c r="M204" s="131"/>
    </row>
    <row r="205" spans="1:35" x14ac:dyDescent="0.2">
      <c r="A205" s="270"/>
      <c r="B205" s="114">
        <f t="shared" si="96"/>
        <v>1.1138613861386137</v>
      </c>
      <c r="C205" s="125">
        <f t="shared" ref="C205:L205" si="116">C181</f>
        <v>33.333333333333329</v>
      </c>
      <c r="D205" s="126">
        <f t="shared" si="116"/>
        <v>22.222222222222221</v>
      </c>
      <c r="E205" s="126">
        <f t="shared" si="116"/>
        <v>22.222222222222221</v>
      </c>
      <c r="F205" s="126">
        <f t="shared" si="116"/>
        <v>5.5555555555555554</v>
      </c>
      <c r="G205" s="126">
        <f t="shared" si="116"/>
        <v>5.5555555555555554</v>
      </c>
      <c r="H205" s="126">
        <f t="shared" si="116"/>
        <v>5.5555555555555554</v>
      </c>
      <c r="I205" s="127">
        <f t="shared" si="116"/>
        <v>22.222222222222221</v>
      </c>
      <c r="J205" s="126">
        <f t="shared" si="116"/>
        <v>0</v>
      </c>
      <c r="K205" s="127">
        <f t="shared" si="116"/>
        <v>33.333333333333329</v>
      </c>
      <c r="L205" s="128">
        <f t="shared" si="116"/>
        <v>27.777777777777779</v>
      </c>
      <c r="M205" s="128"/>
    </row>
    <row r="206" spans="1:35" x14ac:dyDescent="0.2">
      <c r="A206" s="244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43" t="s">
        <v>371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M207" s="27"/>
      <c r="P207" s="172">
        <v>1</v>
      </c>
      <c r="Q207" s="172">
        <v>2</v>
      </c>
      <c r="R207" s="172">
        <v>3</v>
      </c>
      <c r="S207" s="172">
        <v>4</v>
      </c>
      <c r="T207" s="172">
        <v>5</v>
      </c>
      <c r="U207" s="172">
        <v>6</v>
      </c>
      <c r="V207" s="172">
        <v>7</v>
      </c>
      <c r="W207" s="172">
        <v>8</v>
      </c>
      <c r="X207" s="172">
        <v>9</v>
      </c>
      <c r="Y207" s="172">
        <v>10</v>
      </c>
      <c r="Z207" s="172"/>
    </row>
    <row r="208" spans="1:35" ht="32.4" x14ac:dyDescent="0.2">
      <c r="A208" s="12" t="str">
        <f t="shared" ref="A208:M208" si="117">A185</f>
        <v>【職業別】</v>
      </c>
      <c r="B208" s="59" t="str">
        <f t="shared" si="117"/>
        <v>調査数</v>
      </c>
      <c r="C208" s="60" t="str">
        <f t="shared" si="117"/>
        <v>防災対策</v>
      </c>
      <c r="D208" s="61" t="str">
        <f t="shared" si="117"/>
        <v>道路整備・維持管理</v>
      </c>
      <c r="E208" s="61" t="str">
        <f t="shared" si="117"/>
        <v>高齢者福祉</v>
      </c>
      <c r="F208" s="61" t="str">
        <f t="shared" si="117"/>
        <v>地域医療の確保</v>
      </c>
      <c r="G208" s="61" t="str">
        <f t="shared" si="117"/>
        <v>子育て支援</v>
      </c>
      <c r="H208" s="61" t="str">
        <f t="shared" si="117"/>
        <v>防犯・交通安全対策</v>
      </c>
      <c r="I208" s="62" t="str">
        <f t="shared" si="117"/>
        <v>河川整備・維持管理</v>
      </c>
      <c r="J208" s="61" t="str">
        <f t="shared" si="117"/>
        <v>自然環境保全</v>
      </c>
      <c r="K208" s="62" t="str">
        <f t="shared" si="117"/>
        <v>廃棄物対策</v>
      </c>
      <c r="L208" s="63" t="str">
        <f t="shared" si="117"/>
        <v>観光振興</v>
      </c>
      <c r="M208" s="63">
        <f t="shared" si="117"/>
        <v>0</v>
      </c>
      <c r="N208" s="236" t="s">
        <v>32</v>
      </c>
      <c r="O208" s="12" t="str">
        <f>A208</f>
        <v>【職業別】</v>
      </c>
      <c r="P208" s="60" t="str">
        <f t="shared" ref="P208:Y208" si="118">C208</f>
        <v>防災対策</v>
      </c>
      <c r="Q208" s="61" t="str">
        <f t="shared" si="118"/>
        <v>道路整備・維持管理</v>
      </c>
      <c r="R208" s="61" t="str">
        <f t="shared" si="118"/>
        <v>高齢者福祉</v>
      </c>
      <c r="S208" s="61" t="str">
        <f t="shared" si="118"/>
        <v>地域医療の確保</v>
      </c>
      <c r="T208" s="242" t="str">
        <f t="shared" si="118"/>
        <v>子育て支援</v>
      </c>
      <c r="U208" s="106" t="str">
        <f t="shared" si="118"/>
        <v>防犯・交通安全対策</v>
      </c>
      <c r="V208" s="61" t="str">
        <f t="shared" si="118"/>
        <v>河川整備・維持管理</v>
      </c>
      <c r="W208" s="61" t="str">
        <f t="shared" si="118"/>
        <v>自然環境保全</v>
      </c>
      <c r="X208" s="62" t="str">
        <f t="shared" si="118"/>
        <v>廃棄物対策</v>
      </c>
      <c r="Y208" s="63" t="str">
        <f t="shared" si="118"/>
        <v>観光振興</v>
      </c>
      <c r="Z208" s="63"/>
    </row>
    <row r="209" spans="1:26" ht="12.75" customHeight="1" x14ac:dyDescent="0.2">
      <c r="A209" s="269" t="str">
        <f t="shared" ref="A209:L209" si="119">A186</f>
        <v>全体(n = 1,616 )　　</v>
      </c>
      <c r="B209" s="113">
        <f t="shared" si="119"/>
        <v>1616</v>
      </c>
      <c r="C209" s="121">
        <f t="shared" si="119"/>
        <v>453</v>
      </c>
      <c r="D209" s="122">
        <f t="shared" si="119"/>
        <v>296</v>
      </c>
      <c r="E209" s="122">
        <f t="shared" si="119"/>
        <v>287</v>
      </c>
      <c r="F209" s="122">
        <f t="shared" si="119"/>
        <v>284</v>
      </c>
      <c r="G209" s="122">
        <f t="shared" si="119"/>
        <v>248</v>
      </c>
      <c r="H209" s="122">
        <f t="shared" si="119"/>
        <v>237</v>
      </c>
      <c r="I209" s="123">
        <f t="shared" si="119"/>
        <v>213</v>
      </c>
      <c r="J209" s="122">
        <f t="shared" si="119"/>
        <v>203</v>
      </c>
      <c r="K209" s="123">
        <f t="shared" si="119"/>
        <v>194</v>
      </c>
      <c r="L209" s="124">
        <f t="shared" si="119"/>
        <v>180</v>
      </c>
      <c r="M209" s="124"/>
      <c r="N209" s="233">
        <f>SUM($C209:L209)</f>
        <v>2595</v>
      </c>
      <c r="O209" s="93" t="str">
        <f>A211</f>
        <v>自営業(n = 175 )　　</v>
      </c>
      <c r="P209" s="84">
        <f t="shared" ref="P209:Y209" si="120">C212</f>
        <v>32</v>
      </c>
      <c r="Q209" s="85">
        <f t="shared" si="120"/>
        <v>21.714285714285715</v>
      </c>
      <c r="R209" s="85">
        <f t="shared" si="120"/>
        <v>20.571428571428569</v>
      </c>
      <c r="S209" s="85">
        <f t="shared" si="120"/>
        <v>17.142857142857142</v>
      </c>
      <c r="T209" s="241">
        <f t="shared" si="120"/>
        <v>13.714285714285715</v>
      </c>
      <c r="U209" s="108">
        <f t="shared" si="120"/>
        <v>16</v>
      </c>
      <c r="V209" s="85">
        <f t="shared" si="120"/>
        <v>10.285714285714285</v>
      </c>
      <c r="W209" s="85">
        <f t="shared" si="120"/>
        <v>13.142857142857142</v>
      </c>
      <c r="X209" s="86">
        <f t="shared" si="120"/>
        <v>12.571428571428573</v>
      </c>
      <c r="Y209" s="87">
        <f t="shared" si="120"/>
        <v>14.285714285714285</v>
      </c>
      <c r="Z209" s="87"/>
    </row>
    <row r="210" spans="1:26" ht="12.75" customHeight="1" x14ac:dyDescent="0.2">
      <c r="A210" s="270"/>
      <c r="B210" s="114">
        <f t="shared" ref="B210:L210" si="121">B187</f>
        <v>100</v>
      </c>
      <c r="C210" s="125">
        <f t="shared" si="121"/>
        <v>28.032178217821784</v>
      </c>
      <c r="D210" s="126">
        <f t="shared" si="121"/>
        <v>18.316831683168317</v>
      </c>
      <c r="E210" s="126">
        <f t="shared" si="121"/>
        <v>17.759900990099009</v>
      </c>
      <c r="F210" s="126">
        <f t="shared" si="121"/>
        <v>17.574257425742573</v>
      </c>
      <c r="G210" s="126">
        <f t="shared" si="121"/>
        <v>15.346534653465346</v>
      </c>
      <c r="H210" s="126">
        <f t="shared" si="121"/>
        <v>14.665841584158414</v>
      </c>
      <c r="I210" s="127">
        <f t="shared" si="121"/>
        <v>13.180693069306932</v>
      </c>
      <c r="J210" s="126">
        <f t="shared" si="121"/>
        <v>12.561881188118813</v>
      </c>
      <c r="K210" s="127">
        <f t="shared" si="121"/>
        <v>12.004950495049505</v>
      </c>
      <c r="L210" s="128">
        <f t="shared" si="121"/>
        <v>11.138613861386139</v>
      </c>
      <c r="M210" s="128"/>
      <c r="N210" s="233"/>
      <c r="O210" s="95" t="str">
        <f>A213</f>
        <v>会社・団体役員(n = 171 )　　</v>
      </c>
      <c r="P210" s="88">
        <f t="shared" ref="P210:Y210" si="122">C214</f>
        <v>33.918128654970758</v>
      </c>
      <c r="Q210" s="89">
        <f t="shared" si="122"/>
        <v>19.883040935672515</v>
      </c>
      <c r="R210" s="89">
        <f t="shared" si="122"/>
        <v>19.298245614035086</v>
      </c>
      <c r="S210" s="89">
        <f t="shared" si="122"/>
        <v>14.619883040935672</v>
      </c>
      <c r="T210" s="240">
        <f t="shared" si="122"/>
        <v>14.619883040935672</v>
      </c>
      <c r="U210" s="109">
        <f t="shared" si="122"/>
        <v>14.035087719298245</v>
      </c>
      <c r="V210" s="89">
        <f t="shared" si="122"/>
        <v>16.959064327485379</v>
      </c>
      <c r="W210" s="89">
        <f t="shared" si="122"/>
        <v>17.543859649122805</v>
      </c>
      <c r="X210" s="90">
        <f t="shared" si="122"/>
        <v>11.111111111111111</v>
      </c>
      <c r="Y210" s="91">
        <f t="shared" si="122"/>
        <v>6.4327485380116958</v>
      </c>
      <c r="Z210" s="91"/>
    </row>
    <row r="211" spans="1:26" ht="13.5" customHeight="1" x14ac:dyDescent="0.2">
      <c r="A211" s="269" t="str">
        <f>A188</f>
        <v>自営業(n = 175 )　　</v>
      </c>
      <c r="B211" s="113">
        <f t="shared" ref="B211:L211" si="123">B188</f>
        <v>175</v>
      </c>
      <c r="C211" s="129">
        <f t="shared" si="123"/>
        <v>56</v>
      </c>
      <c r="D211" s="130">
        <f t="shared" si="123"/>
        <v>38</v>
      </c>
      <c r="E211" s="130">
        <f t="shared" si="123"/>
        <v>36</v>
      </c>
      <c r="F211" s="130">
        <f t="shared" si="123"/>
        <v>30</v>
      </c>
      <c r="G211" s="130">
        <f t="shared" si="123"/>
        <v>24</v>
      </c>
      <c r="H211" s="130">
        <f t="shared" si="123"/>
        <v>28</v>
      </c>
      <c r="I211" s="140">
        <f t="shared" si="123"/>
        <v>18</v>
      </c>
      <c r="J211" s="130">
        <f t="shared" si="123"/>
        <v>23</v>
      </c>
      <c r="K211" s="140">
        <f t="shared" si="123"/>
        <v>22</v>
      </c>
      <c r="L211" s="131">
        <f t="shared" si="123"/>
        <v>25</v>
      </c>
      <c r="M211" s="131"/>
      <c r="N211" s="233">
        <f>SUM($C211:L211)</f>
        <v>300</v>
      </c>
      <c r="O211" s="95" t="str">
        <f>A215</f>
        <v>正規の従業員・職員(n = 423 )　　</v>
      </c>
      <c r="P211" s="88">
        <f t="shared" ref="P211:Y211" si="124">C216</f>
        <v>27.895981087470449</v>
      </c>
      <c r="Q211" s="89">
        <f t="shared" si="124"/>
        <v>19.858156028368796</v>
      </c>
      <c r="R211" s="89">
        <f t="shared" si="124"/>
        <v>14.657210401891252</v>
      </c>
      <c r="S211" s="89">
        <f t="shared" si="124"/>
        <v>18.203309692671397</v>
      </c>
      <c r="T211" s="240">
        <f t="shared" si="124"/>
        <v>15.839243498817968</v>
      </c>
      <c r="U211" s="109">
        <f t="shared" si="124"/>
        <v>14.893617021276595</v>
      </c>
      <c r="V211" s="89">
        <f t="shared" si="124"/>
        <v>13.711583924349883</v>
      </c>
      <c r="W211" s="89">
        <f t="shared" si="124"/>
        <v>12.056737588652481</v>
      </c>
      <c r="X211" s="90">
        <f t="shared" si="124"/>
        <v>9.6926713947990546</v>
      </c>
      <c r="Y211" s="91">
        <f t="shared" si="124"/>
        <v>10.874704491725769</v>
      </c>
      <c r="Z211" s="91"/>
    </row>
    <row r="212" spans="1:26" ht="13.5" customHeight="1" x14ac:dyDescent="0.2">
      <c r="A212" s="270"/>
      <c r="B212" s="114">
        <f t="shared" ref="B212:L212" si="125">B189</f>
        <v>10.829207920792079</v>
      </c>
      <c r="C212" s="125">
        <f t="shared" si="125"/>
        <v>32</v>
      </c>
      <c r="D212" s="126">
        <f t="shared" si="125"/>
        <v>21.714285714285715</v>
      </c>
      <c r="E212" s="126">
        <f t="shared" si="125"/>
        <v>20.571428571428569</v>
      </c>
      <c r="F212" s="126">
        <f t="shared" si="125"/>
        <v>17.142857142857142</v>
      </c>
      <c r="G212" s="126">
        <f t="shared" si="125"/>
        <v>13.714285714285715</v>
      </c>
      <c r="H212" s="126">
        <f t="shared" si="125"/>
        <v>16</v>
      </c>
      <c r="I212" s="127">
        <f t="shared" si="125"/>
        <v>10.285714285714285</v>
      </c>
      <c r="J212" s="126">
        <f t="shared" si="125"/>
        <v>13.142857142857142</v>
      </c>
      <c r="K212" s="127">
        <f t="shared" si="125"/>
        <v>12.571428571428573</v>
      </c>
      <c r="L212" s="128">
        <f t="shared" si="125"/>
        <v>14.285714285714285</v>
      </c>
      <c r="M212" s="128"/>
      <c r="N212" s="233"/>
      <c r="O212" s="95" t="str">
        <f>A217</f>
        <v>パートタイム・アルバイト・派遣(n = 346 )　　</v>
      </c>
      <c r="P212" s="88">
        <f t="shared" ref="P212:Y212" si="126">C218</f>
        <v>25.722543352601157</v>
      </c>
      <c r="Q212" s="89">
        <f t="shared" si="126"/>
        <v>16.76300578034682</v>
      </c>
      <c r="R212" s="89">
        <f t="shared" si="126"/>
        <v>16.76300578034682</v>
      </c>
      <c r="S212" s="89">
        <f t="shared" si="126"/>
        <v>16.184971098265898</v>
      </c>
      <c r="T212" s="240">
        <f t="shared" si="126"/>
        <v>17.630057803468208</v>
      </c>
      <c r="U212" s="109">
        <f t="shared" si="126"/>
        <v>14.450867052023122</v>
      </c>
      <c r="V212" s="89">
        <f t="shared" si="126"/>
        <v>15.028901734104046</v>
      </c>
      <c r="W212" s="89">
        <f t="shared" si="126"/>
        <v>14.739884393063585</v>
      </c>
      <c r="X212" s="90">
        <f t="shared" si="126"/>
        <v>10.404624277456648</v>
      </c>
      <c r="Y212" s="91">
        <f t="shared" si="126"/>
        <v>9.8265895953757223</v>
      </c>
      <c r="Z212" s="91"/>
    </row>
    <row r="213" spans="1:26" ht="13.5" customHeight="1" x14ac:dyDescent="0.2">
      <c r="A213" s="269" t="str">
        <f t="shared" ref="A213:L213" si="127">A192</f>
        <v>会社・団体役員(n = 171 )　　</v>
      </c>
      <c r="B213" s="113">
        <f t="shared" si="127"/>
        <v>171</v>
      </c>
      <c r="C213" s="129">
        <f t="shared" si="127"/>
        <v>58</v>
      </c>
      <c r="D213" s="130">
        <f t="shared" si="127"/>
        <v>34</v>
      </c>
      <c r="E213" s="130">
        <f t="shared" si="127"/>
        <v>33</v>
      </c>
      <c r="F213" s="130">
        <f t="shared" si="127"/>
        <v>25</v>
      </c>
      <c r="G213" s="130">
        <f t="shared" si="127"/>
        <v>25</v>
      </c>
      <c r="H213" s="130">
        <f t="shared" si="127"/>
        <v>24</v>
      </c>
      <c r="I213" s="140">
        <f t="shared" si="127"/>
        <v>29</v>
      </c>
      <c r="J213" s="130">
        <f t="shared" si="127"/>
        <v>30</v>
      </c>
      <c r="K213" s="140">
        <f t="shared" si="127"/>
        <v>19</v>
      </c>
      <c r="L213" s="131">
        <f t="shared" si="127"/>
        <v>11</v>
      </c>
      <c r="M213" s="131"/>
      <c r="N213" s="235">
        <f>SUM($C213:L213)</f>
        <v>288</v>
      </c>
      <c r="O213" s="95" t="str">
        <f>A219</f>
        <v>家事従事(n = 150 )　　</v>
      </c>
      <c r="P213" s="88">
        <f t="shared" ref="P213:Y213" si="128">C220</f>
        <v>24</v>
      </c>
      <c r="Q213" s="89">
        <f t="shared" si="128"/>
        <v>10</v>
      </c>
      <c r="R213" s="89">
        <f t="shared" si="128"/>
        <v>14.666666666666666</v>
      </c>
      <c r="S213" s="89">
        <f t="shared" si="128"/>
        <v>17.333333333333336</v>
      </c>
      <c r="T213" s="240">
        <f t="shared" si="128"/>
        <v>19.333333333333332</v>
      </c>
      <c r="U213" s="109">
        <f t="shared" si="128"/>
        <v>12.666666666666668</v>
      </c>
      <c r="V213" s="89">
        <f t="shared" si="128"/>
        <v>8</v>
      </c>
      <c r="W213" s="89">
        <f t="shared" si="128"/>
        <v>14.666666666666666</v>
      </c>
      <c r="X213" s="90">
        <f t="shared" si="128"/>
        <v>14.666666666666666</v>
      </c>
      <c r="Y213" s="91">
        <f t="shared" si="128"/>
        <v>10.666666666666668</v>
      </c>
      <c r="Z213" s="91"/>
    </row>
    <row r="214" spans="1:26" ht="13.5" customHeight="1" x14ac:dyDescent="0.2">
      <c r="A214" s="270"/>
      <c r="B214" s="114">
        <f t="shared" ref="B214:L214" si="129">B193</f>
        <v>10.581683168316831</v>
      </c>
      <c r="C214" s="125">
        <f t="shared" si="129"/>
        <v>33.918128654970758</v>
      </c>
      <c r="D214" s="126">
        <f t="shared" si="129"/>
        <v>19.883040935672515</v>
      </c>
      <c r="E214" s="126">
        <f t="shared" si="129"/>
        <v>19.298245614035086</v>
      </c>
      <c r="F214" s="126">
        <f t="shared" si="129"/>
        <v>14.619883040935672</v>
      </c>
      <c r="G214" s="126">
        <f t="shared" si="129"/>
        <v>14.619883040935672</v>
      </c>
      <c r="H214" s="126">
        <f t="shared" si="129"/>
        <v>14.035087719298245</v>
      </c>
      <c r="I214" s="127">
        <f t="shared" si="129"/>
        <v>16.959064327485379</v>
      </c>
      <c r="J214" s="126">
        <f t="shared" si="129"/>
        <v>17.543859649122805</v>
      </c>
      <c r="K214" s="127">
        <f t="shared" si="129"/>
        <v>11.111111111111111</v>
      </c>
      <c r="L214" s="128">
        <f t="shared" si="129"/>
        <v>6.4327485380116958</v>
      </c>
      <c r="M214" s="128"/>
      <c r="N214" s="235"/>
      <c r="O214" s="95" t="str">
        <f>A221</f>
        <v>無職(n = 263 )　　</v>
      </c>
      <c r="P214" s="88">
        <f t="shared" ref="P214:Y214" si="130">C222</f>
        <v>25.475285171102662</v>
      </c>
      <c r="Q214" s="89">
        <f t="shared" si="130"/>
        <v>19.391634980988592</v>
      </c>
      <c r="R214" s="89">
        <f t="shared" si="130"/>
        <v>22.813688212927758</v>
      </c>
      <c r="S214" s="89">
        <f t="shared" si="130"/>
        <v>22.813688212927758</v>
      </c>
      <c r="T214" s="240">
        <f t="shared" si="130"/>
        <v>12.547528517110266</v>
      </c>
      <c r="U214" s="109">
        <f t="shared" si="130"/>
        <v>14.448669201520911</v>
      </c>
      <c r="V214" s="89">
        <f t="shared" si="130"/>
        <v>11.02661596958175</v>
      </c>
      <c r="W214" s="89">
        <f t="shared" si="130"/>
        <v>7.6045627376425857</v>
      </c>
      <c r="X214" s="90">
        <f t="shared" si="130"/>
        <v>15.96958174904943</v>
      </c>
      <c r="Y214" s="91">
        <f t="shared" si="130"/>
        <v>12.167300380228136</v>
      </c>
      <c r="Z214" s="91"/>
    </row>
    <row r="215" spans="1:26" ht="13.5" customHeight="1" x14ac:dyDescent="0.2">
      <c r="A215" s="269" t="str">
        <f>A194</f>
        <v>正規の従業員・職員(n = 423 )　　</v>
      </c>
      <c r="B215" s="113">
        <f t="shared" ref="B215:L215" si="131">B194</f>
        <v>423</v>
      </c>
      <c r="C215" s="129">
        <f t="shared" si="131"/>
        <v>118</v>
      </c>
      <c r="D215" s="130">
        <f t="shared" si="131"/>
        <v>84</v>
      </c>
      <c r="E215" s="130">
        <f t="shared" si="131"/>
        <v>62</v>
      </c>
      <c r="F215" s="130">
        <f t="shared" si="131"/>
        <v>77</v>
      </c>
      <c r="G215" s="130">
        <f t="shared" si="131"/>
        <v>67</v>
      </c>
      <c r="H215" s="130">
        <f t="shared" si="131"/>
        <v>63</v>
      </c>
      <c r="I215" s="140">
        <f t="shared" si="131"/>
        <v>58</v>
      </c>
      <c r="J215" s="130">
        <f t="shared" si="131"/>
        <v>51</v>
      </c>
      <c r="K215" s="140">
        <f t="shared" si="131"/>
        <v>41</v>
      </c>
      <c r="L215" s="131">
        <f t="shared" si="131"/>
        <v>46</v>
      </c>
      <c r="M215" s="131"/>
      <c r="N215" s="235">
        <f>SUM($C215:L215)</f>
        <v>667</v>
      </c>
      <c r="O215" s="94" t="str">
        <f>A223</f>
        <v>その他(n = 74 )　　</v>
      </c>
      <c r="P215" s="78">
        <f t="shared" ref="P215:Y215" si="132">C224</f>
        <v>33.783783783783782</v>
      </c>
      <c r="Q215" s="79">
        <f t="shared" si="132"/>
        <v>20.27027027027027</v>
      </c>
      <c r="R215" s="79">
        <f t="shared" si="132"/>
        <v>17.567567567567568</v>
      </c>
      <c r="S215" s="79">
        <f t="shared" si="132"/>
        <v>10.810810810810811</v>
      </c>
      <c r="T215" s="239">
        <f t="shared" si="132"/>
        <v>8.1081081081081088</v>
      </c>
      <c r="U215" s="107">
        <f t="shared" si="132"/>
        <v>17.567567567567568</v>
      </c>
      <c r="V215" s="79">
        <f t="shared" si="132"/>
        <v>18.918918918918919</v>
      </c>
      <c r="W215" s="79">
        <f t="shared" si="132"/>
        <v>8.1081081081081088</v>
      </c>
      <c r="X215" s="80">
        <f t="shared" si="132"/>
        <v>13.513513513513514</v>
      </c>
      <c r="Y215" s="81">
        <f t="shared" si="132"/>
        <v>20.27027027027027</v>
      </c>
      <c r="Z215" s="81"/>
    </row>
    <row r="216" spans="1:26" ht="13.5" customHeight="1" x14ac:dyDescent="0.2">
      <c r="A216" s="270"/>
      <c r="B216" s="114">
        <f t="shared" ref="B216:L216" si="133">B195</f>
        <v>26.175742574257427</v>
      </c>
      <c r="C216" s="125">
        <f t="shared" si="133"/>
        <v>27.895981087470449</v>
      </c>
      <c r="D216" s="126">
        <f t="shared" si="133"/>
        <v>19.858156028368796</v>
      </c>
      <c r="E216" s="126">
        <f t="shared" si="133"/>
        <v>14.657210401891252</v>
      </c>
      <c r="F216" s="126">
        <f t="shared" si="133"/>
        <v>18.203309692671397</v>
      </c>
      <c r="G216" s="126">
        <f t="shared" si="133"/>
        <v>15.839243498817968</v>
      </c>
      <c r="H216" s="126">
        <f t="shared" si="133"/>
        <v>14.893617021276595</v>
      </c>
      <c r="I216" s="127">
        <f t="shared" si="133"/>
        <v>13.711583924349883</v>
      </c>
      <c r="J216" s="126">
        <f t="shared" si="133"/>
        <v>12.056737588652481</v>
      </c>
      <c r="K216" s="127">
        <f t="shared" si="133"/>
        <v>9.6926713947990546</v>
      </c>
      <c r="L216" s="128">
        <f t="shared" si="133"/>
        <v>10.874704491725769</v>
      </c>
      <c r="M216" s="128"/>
      <c r="N216" s="235"/>
    </row>
    <row r="217" spans="1:26" ht="13.5" customHeight="1" x14ac:dyDescent="0.2">
      <c r="A217" s="269" t="str">
        <f>A196</f>
        <v>パートタイム・アルバイト・派遣(n = 346 )　　</v>
      </c>
      <c r="B217" s="113">
        <f t="shared" ref="B217:L217" si="134">B196</f>
        <v>346</v>
      </c>
      <c r="C217" s="129">
        <f t="shared" si="134"/>
        <v>89</v>
      </c>
      <c r="D217" s="130">
        <f t="shared" si="134"/>
        <v>58</v>
      </c>
      <c r="E217" s="130">
        <f t="shared" si="134"/>
        <v>58</v>
      </c>
      <c r="F217" s="130">
        <f t="shared" si="134"/>
        <v>56</v>
      </c>
      <c r="G217" s="130">
        <f t="shared" si="134"/>
        <v>61</v>
      </c>
      <c r="H217" s="130">
        <f t="shared" si="134"/>
        <v>50</v>
      </c>
      <c r="I217" s="140">
        <f t="shared" si="134"/>
        <v>52</v>
      </c>
      <c r="J217" s="130">
        <f t="shared" si="134"/>
        <v>51</v>
      </c>
      <c r="K217" s="140">
        <f t="shared" si="134"/>
        <v>36</v>
      </c>
      <c r="L217" s="131">
        <f t="shared" si="134"/>
        <v>34</v>
      </c>
      <c r="M217" s="131"/>
      <c r="N217" s="235">
        <f>SUM($C217:L217)</f>
        <v>545</v>
      </c>
    </row>
    <row r="218" spans="1:26" ht="13.5" customHeight="1" x14ac:dyDescent="0.2">
      <c r="A218" s="270"/>
      <c r="B218" s="114">
        <f t="shared" ref="B218:L218" si="135">B197</f>
        <v>21.410891089108912</v>
      </c>
      <c r="C218" s="125">
        <f t="shared" si="135"/>
        <v>25.722543352601157</v>
      </c>
      <c r="D218" s="126">
        <f t="shared" si="135"/>
        <v>16.76300578034682</v>
      </c>
      <c r="E218" s="126">
        <f t="shared" si="135"/>
        <v>16.76300578034682</v>
      </c>
      <c r="F218" s="126">
        <f t="shared" si="135"/>
        <v>16.184971098265898</v>
      </c>
      <c r="G218" s="126">
        <f t="shared" si="135"/>
        <v>17.630057803468208</v>
      </c>
      <c r="H218" s="126">
        <f t="shared" si="135"/>
        <v>14.450867052023122</v>
      </c>
      <c r="I218" s="127">
        <f t="shared" si="135"/>
        <v>15.028901734104046</v>
      </c>
      <c r="J218" s="126">
        <f t="shared" si="135"/>
        <v>14.739884393063585</v>
      </c>
      <c r="K218" s="127">
        <f t="shared" si="135"/>
        <v>10.404624277456648</v>
      </c>
      <c r="L218" s="128">
        <f t="shared" si="135"/>
        <v>9.8265895953757223</v>
      </c>
      <c r="M218" s="128"/>
      <c r="N218" s="235"/>
    </row>
    <row r="219" spans="1:26" ht="13.5" customHeight="1" x14ac:dyDescent="0.2">
      <c r="A219" s="269" t="str">
        <f t="shared" ref="A219:L219" si="136">A200</f>
        <v>家事従事(n = 150 )　　</v>
      </c>
      <c r="B219" s="113">
        <f t="shared" si="136"/>
        <v>150</v>
      </c>
      <c r="C219" s="129">
        <f t="shared" si="136"/>
        <v>36</v>
      </c>
      <c r="D219" s="130">
        <f t="shared" si="136"/>
        <v>15</v>
      </c>
      <c r="E219" s="130">
        <f t="shared" si="136"/>
        <v>22</v>
      </c>
      <c r="F219" s="130">
        <f t="shared" si="136"/>
        <v>26</v>
      </c>
      <c r="G219" s="130">
        <f t="shared" si="136"/>
        <v>29</v>
      </c>
      <c r="H219" s="130">
        <f t="shared" si="136"/>
        <v>19</v>
      </c>
      <c r="I219" s="140">
        <f t="shared" si="136"/>
        <v>12</v>
      </c>
      <c r="J219" s="130">
        <f t="shared" si="136"/>
        <v>22</v>
      </c>
      <c r="K219" s="140">
        <f t="shared" si="136"/>
        <v>22</v>
      </c>
      <c r="L219" s="131">
        <f t="shared" si="136"/>
        <v>16</v>
      </c>
      <c r="M219" s="131"/>
      <c r="N219" s="235">
        <f>SUM($C219:L219)</f>
        <v>219</v>
      </c>
    </row>
    <row r="220" spans="1:26" ht="13.5" customHeight="1" x14ac:dyDescent="0.2">
      <c r="A220" s="270"/>
      <c r="B220" s="114">
        <f t="shared" ref="B220:L220" si="137">B201</f>
        <v>9.282178217821782</v>
      </c>
      <c r="C220" s="125">
        <f t="shared" si="137"/>
        <v>24</v>
      </c>
      <c r="D220" s="126">
        <f t="shared" si="137"/>
        <v>10</v>
      </c>
      <c r="E220" s="126">
        <f t="shared" si="137"/>
        <v>14.666666666666666</v>
      </c>
      <c r="F220" s="126">
        <f t="shared" si="137"/>
        <v>17.333333333333336</v>
      </c>
      <c r="G220" s="126">
        <f t="shared" si="137"/>
        <v>19.333333333333332</v>
      </c>
      <c r="H220" s="126">
        <f t="shared" si="137"/>
        <v>12.666666666666668</v>
      </c>
      <c r="I220" s="127">
        <f t="shared" si="137"/>
        <v>8</v>
      </c>
      <c r="J220" s="126">
        <f t="shared" si="137"/>
        <v>14.666666666666666</v>
      </c>
      <c r="K220" s="127">
        <f t="shared" si="137"/>
        <v>14.666666666666666</v>
      </c>
      <c r="L220" s="128">
        <f t="shared" si="137"/>
        <v>10.666666666666668</v>
      </c>
      <c r="M220" s="128"/>
      <c r="N220" s="235"/>
    </row>
    <row r="221" spans="1:26" ht="13.5" customHeight="1" x14ac:dyDescent="0.2">
      <c r="A221" s="269" t="str">
        <f>A202</f>
        <v>無職(n = 263 )　　</v>
      </c>
      <c r="B221" s="113">
        <f t="shared" ref="B221:L221" si="138">B202</f>
        <v>263</v>
      </c>
      <c r="C221" s="129">
        <f t="shared" si="138"/>
        <v>67</v>
      </c>
      <c r="D221" s="130">
        <f t="shared" si="138"/>
        <v>51</v>
      </c>
      <c r="E221" s="130">
        <f t="shared" si="138"/>
        <v>60</v>
      </c>
      <c r="F221" s="130">
        <f t="shared" si="138"/>
        <v>60</v>
      </c>
      <c r="G221" s="130">
        <f t="shared" si="138"/>
        <v>33</v>
      </c>
      <c r="H221" s="130">
        <f t="shared" si="138"/>
        <v>38</v>
      </c>
      <c r="I221" s="140">
        <f t="shared" si="138"/>
        <v>29</v>
      </c>
      <c r="J221" s="130">
        <f t="shared" si="138"/>
        <v>20</v>
      </c>
      <c r="K221" s="140">
        <f t="shared" si="138"/>
        <v>42</v>
      </c>
      <c r="L221" s="131">
        <f t="shared" si="138"/>
        <v>32</v>
      </c>
      <c r="M221" s="131"/>
      <c r="N221" s="235">
        <f>SUM($C221:L221)</f>
        <v>432</v>
      </c>
    </row>
    <row r="222" spans="1:26" x14ac:dyDescent="0.2">
      <c r="A222" s="270"/>
      <c r="B222" s="114">
        <f t="shared" ref="B222:L222" si="139">B203</f>
        <v>16.274752475247524</v>
      </c>
      <c r="C222" s="125">
        <f t="shared" si="139"/>
        <v>25.475285171102662</v>
      </c>
      <c r="D222" s="126">
        <f t="shared" si="139"/>
        <v>19.391634980988592</v>
      </c>
      <c r="E222" s="126">
        <f t="shared" si="139"/>
        <v>22.813688212927758</v>
      </c>
      <c r="F222" s="126">
        <f t="shared" si="139"/>
        <v>22.813688212927758</v>
      </c>
      <c r="G222" s="126">
        <f t="shared" si="139"/>
        <v>12.547528517110266</v>
      </c>
      <c r="H222" s="126">
        <f t="shared" si="139"/>
        <v>14.448669201520911</v>
      </c>
      <c r="I222" s="127">
        <f t="shared" si="139"/>
        <v>11.02661596958175</v>
      </c>
      <c r="J222" s="126">
        <f t="shared" si="139"/>
        <v>7.6045627376425857</v>
      </c>
      <c r="K222" s="127">
        <f t="shared" si="139"/>
        <v>15.96958174904943</v>
      </c>
      <c r="L222" s="128">
        <f t="shared" si="139"/>
        <v>12.167300380228136</v>
      </c>
      <c r="M222" s="128"/>
      <c r="N222" s="235"/>
    </row>
    <row r="223" spans="1:26" x14ac:dyDescent="0.2">
      <c r="A223" s="269" t="str">
        <f>'問9S（表）'!J82</f>
        <v>その他(n = 74 )　　</v>
      </c>
      <c r="B223" s="113">
        <f t="shared" ref="B223:L223" si="140">B190+B198+B204</f>
        <v>74</v>
      </c>
      <c r="C223" s="129">
        <f t="shared" si="140"/>
        <v>25</v>
      </c>
      <c r="D223" s="130">
        <f t="shared" si="140"/>
        <v>15</v>
      </c>
      <c r="E223" s="130">
        <f t="shared" si="140"/>
        <v>13</v>
      </c>
      <c r="F223" s="130">
        <f t="shared" si="140"/>
        <v>8</v>
      </c>
      <c r="G223" s="130">
        <f t="shared" si="140"/>
        <v>6</v>
      </c>
      <c r="H223" s="130">
        <f t="shared" si="140"/>
        <v>13</v>
      </c>
      <c r="I223" s="140">
        <f t="shared" si="140"/>
        <v>14</v>
      </c>
      <c r="J223" s="130">
        <f t="shared" si="140"/>
        <v>6</v>
      </c>
      <c r="K223" s="140">
        <f t="shared" si="140"/>
        <v>10</v>
      </c>
      <c r="L223" s="131">
        <f t="shared" si="140"/>
        <v>15</v>
      </c>
      <c r="M223" s="131"/>
      <c r="N223" s="235">
        <f>SUM($C223:L223)</f>
        <v>125</v>
      </c>
    </row>
    <row r="224" spans="1:26" x14ac:dyDescent="0.2">
      <c r="A224" s="270"/>
      <c r="B224" s="114">
        <f>B223/B209*100</f>
        <v>4.5792079207920793</v>
      </c>
      <c r="C224" s="125">
        <f t="shared" ref="C224:L224" si="141">(C223/$B$223)*100</f>
        <v>33.783783783783782</v>
      </c>
      <c r="D224" s="126">
        <f t="shared" si="141"/>
        <v>20.27027027027027</v>
      </c>
      <c r="E224" s="126">
        <f t="shared" si="141"/>
        <v>17.567567567567568</v>
      </c>
      <c r="F224" s="126">
        <f t="shared" si="141"/>
        <v>10.810810810810811</v>
      </c>
      <c r="G224" s="126">
        <f t="shared" si="141"/>
        <v>8.1081081081081088</v>
      </c>
      <c r="H224" s="126">
        <f t="shared" si="141"/>
        <v>17.567567567567568</v>
      </c>
      <c r="I224" s="127">
        <f t="shared" si="141"/>
        <v>18.918918918918919</v>
      </c>
      <c r="J224" s="126">
        <f t="shared" si="141"/>
        <v>8.1081081081081088</v>
      </c>
      <c r="K224" s="127">
        <f t="shared" si="141"/>
        <v>13.513513513513514</v>
      </c>
      <c r="L224" s="128">
        <f t="shared" si="141"/>
        <v>20.27027027027027</v>
      </c>
      <c r="M224" s="128"/>
      <c r="N224" s="235"/>
    </row>
  </sheetData>
  <mergeCells count="89">
    <mergeCell ref="A223:A224"/>
    <mergeCell ref="A140:A141"/>
    <mergeCell ref="A138:A139"/>
    <mergeCell ref="A180:A181"/>
    <mergeCell ref="A219:A220"/>
    <mergeCell ref="A221:A222"/>
    <mergeCell ref="A97:A98"/>
    <mergeCell ref="A133:A134"/>
    <mergeCell ref="A107:A108"/>
    <mergeCell ref="A109:A110"/>
    <mergeCell ref="A111:A112"/>
    <mergeCell ref="A131:A132"/>
    <mergeCell ref="A62:A63"/>
    <mergeCell ref="A95:A96"/>
    <mergeCell ref="A209:A210"/>
    <mergeCell ref="A200:A201"/>
    <mergeCell ref="A202:A203"/>
    <mergeCell ref="A76:A77"/>
    <mergeCell ref="A78:A79"/>
    <mergeCell ref="A80:A81"/>
    <mergeCell ref="A82:A83"/>
    <mergeCell ref="A84:A85"/>
    <mergeCell ref="A86:A87"/>
    <mergeCell ref="A91:A92"/>
    <mergeCell ref="A93:A94"/>
    <mergeCell ref="A170:A171"/>
    <mergeCell ref="A172:A173"/>
    <mergeCell ref="A174:A175"/>
    <mergeCell ref="A215:A216"/>
    <mergeCell ref="A217:A218"/>
    <mergeCell ref="A113:A114"/>
    <mergeCell ref="A115:A116"/>
    <mergeCell ref="A117:A118"/>
    <mergeCell ref="A123:A124"/>
    <mergeCell ref="A125:A126"/>
    <mergeCell ref="A127:A128"/>
    <mergeCell ref="A129:A130"/>
    <mergeCell ref="A211:A212"/>
    <mergeCell ref="A176:A177"/>
    <mergeCell ref="A168:A169"/>
    <mergeCell ref="A178:A179"/>
    <mergeCell ref="A198:A199"/>
    <mergeCell ref="A190:A191"/>
    <mergeCell ref="A196:A197"/>
    <mergeCell ref="A3:A4"/>
    <mergeCell ref="A5:A6"/>
    <mergeCell ref="A7:A8"/>
    <mergeCell ref="A23:A24"/>
    <mergeCell ref="A25:A26"/>
    <mergeCell ref="A32:A33"/>
    <mergeCell ref="A36:A37"/>
    <mergeCell ref="A38:A39"/>
    <mergeCell ref="A34:A35"/>
    <mergeCell ref="A13:A14"/>
    <mergeCell ref="A15:A16"/>
    <mergeCell ref="A17:A18"/>
    <mergeCell ref="A27:A28"/>
    <mergeCell ref="A99:A100"/>
    <mergeCell ref="A101:A102"/>
    <mergeCell ref="A40:A41"/>
    <mergeCell ref="A42:A43"/>
    <mergeCell ref="A148:A149"/>
    <mergeCell ref="A44:A45"/>
    <mergeCell ref="A72:A73"/>
    <mergeCell ref="A64:A65"/>
    <mergeCell ref="A66:A67"/>
    <mergeCell ref="A74:A75"/>
    <mergeCell ref="A46:A47"/>
    <mergeCell ref="A52:A53"/>
    <mergeCell ref="A54:A55"/>
    <mergeCell ref="A56:A57"/>
    <mergeCell ref="A58:A59"/>
    <mergeCell ref="A60:A61"/>
    <mergeCell ref="A213:A214"/>
    <mergeCell ref="A204:A205"/>
    <mergeCell ref="A144:A145"/>
    <mergeCell ref="A146:A147"/>
    <mergeCell ref="A142:A143"/>
    <mergeCell ref="A186:A187"/>
    <mergeCell ref="A150:A151"/>
    <mergeCell ref="A152:A153"/>
    <mergeCell ref="A154:A155"/>
    <mergeCell ref="A156:A157"/>
    <mergeCell ref="A162:A163"/>
    <mergeCell ref="A164:A165"/>
    <mergeCell ref="A166:A167"/>
    <mergeCell ref="A188:A189"/>
    <mergeCell ref="A192:A193"/>
    <mergeCell ref="A194:A195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224"/>
  <sheetViews>
    <sheetView topLeftCell="A193" zoomScaleNormal="100" workbookViewId="0"/>
  </sheetViews>
  <sheetFormatPr defaultRowHeight="13.2" x14ac:dyDescent="0.2"/>
  <sheetData>
    <row r="1" spans="1:41" x14ac:dyDescent="0.2">
      <c r="A1" s="3" t="s">
        <v>419</v>
      </c>
      <c r="B1" s="1" t="s">
        <v>418</v>
      </c>
      <c r="C1" s="8">
        <v>1</v>
      </c>
      <c r="D1" s="9">
        <v>2</v>
      </c>
      <c r="E1" s="8">
        <v>3</v>
      </c>
      <c r="F1" s="8">
        <v>4</v>
      </c>
      <c r="G1" s="8">
        <v>5</v>
      </c>
      <c r="H1" s="9">
        <v>6</v>
      </c>
      <c r="I1" s="8">
        <v>7</v>
      </c>
      <c r="J1" s="8">
        <v>8</v>
      </c>
      <c r="K1" s="8">
        <v>9</v>
      </c>
      <c r="L1" s="8">
        <v>10</v>
      </c>
      <c r="M1" s="9">
        <v>11</v>
      </c>
      <c r="N1" s="8">
        <v>12</v>
      </c>
      <c r="O1" s="8">
        <v>13</v>
      </c>
      <c r="P1" s="8">
        <v>14</v>
      </c>
      <c r="Q1" s="9">
        <v>15</v>
      </c>
      <c r="R1" s="8">
        <v>16</v>
      </c>
      <c r="S1" s="8">
        <v>17</v>
      </c>
      <c r="T1" s="8">
        <v>18</v>
      </c>
      <c r="U1" s="8">
        <v>19</v>
      </c>
      <c r="V1" s="9">
        <v>20</v>
      </c>
      <c r="W1" s="8">
        <v>21</v>
      </c>
      <c r="X1" s="8">
        <v>22</v>
      </c>
      <c r="Y1" s="8">
        <v>23</v>
      </c>
      <c r="Z1" s="9">
        <v>24</v>
      </c>
      <c r="AA1" s="8">
        <v>25</v>
      </c>
      <c r="AB1" s="8">
        <v>26</v>
      </c>
      <c r="AC1" s="8">
        <v>27</v>
      </c>
      <c r="AD1" s="8">
        <v>28</v>
      </c>
      <c r="AE1" s="9">
        <v>29</v>
      </c>
      <c r="AF1" s="8">
        <v>30</v>
      </c>
      <c r="AG1" s="8">
        <v>31</v>
      </c>
      <c r="AH1" s="8">
        <v>32</v>
      </c>
      <c r="AI1" s="9">
        <v>33</v>
      </c>
      <c r="AJ1">
        <v>34</v>
      </c>
      <c r="AK1">
        <v>35</v>
      </c>
      <c r="AL1">
        <v>36</v>
      </c>
    </row>
    <row r="2" spans="1:41" ht="43.2" x14ac:dyDescent="0.2">
      <c r="A2" s="12" t="s">
        <v>20</v>
      </c>
      <c r="B2" s="59" t="s">
        <v>3</v>
      </c>
      <c r="C2" s="60" t="s">
        <v>410</v>
      </c>
      <c r="D2" s="61" t="s">
        <v>403</v>
      </c>
      <c r="E2" s="61" t="s">
        <v>386</v>
      </c>
      <c r="F2" s="61" t="s">
        <v>402</v>
      </c>
      <c r="G2" s="61" t="s">
        <v>380</v>
      </c>
      <c r="H2" s="61" t="s">
        <v>405</v>
      </c>
      <c r="I2" s="61" t="s">
        <v>397</v>
      </c>
      <c r="J2" s="61" t="s">
        <v>407</v>
      </c>
      <c r="K2" s="61" t="s">
        <v>400</v>
      </c>
      <c r="L2" s="61" t="s">
        <v>394</v>
      </c>
      <c r="M2" s="61" t="s">
        <v>379</v>
      </c>
      <c r="N2" s="61" t="s">
        <v>408</v>
      </c>
      <c r="O2" s="61" t="s">
        <v>395</v>
      </c>
      <c r="P2" s="61" t="s">
        <v>383</v>
      </c>
      <c r="Q2" s="62" t="s">
        <v>406</v>
      </c>
      <c r="R2" s="61" t="s">
        <v>389</v>
      </c>
      <c r="S2" s="105" t="s">
        <v>385</v>
      </c>
      <c r="T2" s="105" t="s">
        <v>382</v>
      </c>
      <c r="U2" s="61" t="s">
        <v>401</v>
      </c>
      <c r="V2" s="105" t="s">
        <v>384</v>
      </c>
      <c r="W2" s="61" t="s">
        <v>376</v>
      </c>
      <c r="X2" s="61" t="s">
        <v>375</v>
      </c>
      <c r="Y2" s="61" t="s">
        <v>378</v>
      </c>
      <c r="Z2" s="61" t="s">
        <v>391</v>
      </c>
      <c r="AA2" s="61" t="s">
        <v>377</v>
      </c>
      <c r="AB2" s="61" t="s">
        <v>409</v>
      </c>
      <c r="AC2" s="61" t="s">
        <v>404</v>
      </c>
      <c r="AD2" s="61" t="s">
        <v>390</v>
      </c>
      <c r="AE2" s="61" t="s">
        <v>392</v>
      </c>
      <c r="AF2" s="61" t="s">
        <v>399</v>
      </c>
      <c r="AG2" s="61" t="s">
        <v>398</v>
      </c>
      <c r="AH2" s="61" t="s">
        <v>388</v>
      </c>
      <c r="AI2" s="61" t="s">
        <v>393</v>
      </c>
      <c r="AJ2" s="61" t="s">
        <v>417</v>
      </c>
      <c r="AK2" s="61" t="s">
        <v>381</v>
      </c>
      <c r="AL2" s="61" t="s">
        <v>387</v>
      </c>
      <c r="AM2" s="63" t="s">
        <v>0</v>
      </c>
      <c r="AN2" s="5" t="s">
        <v>118</v>
      </c>
    </row>
    <row r="3" spans="1:41" ht="13.5" customHeight="1" x14ac:dyDescent="0.2">
      <c r="A3" s="269" t="str">
        <f>'問10-1M（表）'!A3</f>
        <v>全体(n = 1,616 )　　</v>
      </c>
      <c r="B3" s="34">
        <v>1616</v>
      </c>
      <c r="C3" s="31">
        <v>191</v>
      </c>
      <c r="D3" s="32">
        <v>83</v>
      </c>
      <c r="E3" s="32">
        <v>105</v>
      </c>
      <c r="F3" s="32">
        <v>140</v>
      </c>
      <c r="G3" s="32">
        <v>159</v>
      </c>
      <c r="H3" s="32">
        <v>113</v>
      </c>
      <c r="I3" s="32">
        <v>108</v>
      </c>
      <c r="J3" s="32">
        <v>214</v>
      </c>
      <c r="K3" s="32">
        <v>55</v>
      </c>
      <c r="L3" s="32">
        <v>40</v>
      </c>
      <c r="M3" s="32">
        <v>42</v>
      </c>
      <c r="N3" s="32">
        <v>223</v>
      </c>
      <c r="O3" s="32">
        <v>110</v>
      </c>
      <c r="P3" s="32">
        <v>291</v>
      </c>
      <c r="Q3" s="32">
        <v>252</v>
      </c>
      <c r="R3" s="32">
        <v>139</v>
      </c>
      <c r="S3" s="32">
        <v>154</v>
      </c>
      <c r="T3" s="32">
        <v>72</v>
      </c>
      <c r="U3" s="32">
        <v>176</v>
      </c>
      <c r="V3" s="32">
        <v>152</v>
      </c>
      <c r="W3" s="32">
        <v>179</v>
      </c>
      <c r="X3" s="32">
        <v>115</v>
      </c>
      <c r="Y3" s="32">
        <v>178</v>
      </c>
      <c r="Z3" s="32">
        <v>72</v>
      </c>
      <c r="AA3" s="32">
        <v>53</v>
      </c>
      <c r="AB3" s="32">
        <v>174</v>
      </c>
      <c r="AC3" s="32">
        <v>109</v>
      </c>
      <c r="AD3" s="32">
        <v>66</v>
      </c>
      <c r="AE3" s="32">
        <v>301</v>
      </c>
      <c r="AF3" s="32">
        <v>135</v>
      </c>
      <c r="AG3" s="32">
        <v>141</v>
      </c>
      <c r="AH3" s="32">
        <v>46</v>
      </c>
      <c r="AI3" s="32">
        <v>57</v>
      </c>
      <c r="AJ3" s="32">
        <v>53</v>
      </c>
      <c r="AK3" s="32">
        <v>340</v>
      </c>
      <c r="AL3" s="32">
        <v>179</v>
      </c>
      <c r="AM3" s="33"/>
      <c r="AN3" s="5">
        <f>SUM(C3:AM3)</f>
        <v>5017</v>
      </c>
    </row>
    <row r="4" spans="1:41" x14ac:dyDescent="0.2">
      <c r="A4" s="270"/>
      <c r="B4" s="35">
        <v>100</v>
      </c>
      <c r="C4" s="20">
        <f t="shared" ref="C4:AL4" si="0">C3/$B$3*100</f>
        <v>11.819306930693068</v>
      </c>
      <c r="D4" s="207">
        <f t="shared" si="0"/>
        <v>5.1361386138613856</v>
      </c>
      <c r="E4" s="207">
        <f t="shared" si="0"/>
        <v>6.4975247524752477</v>
      </c>
      <c r="F4" s="207">
        <f t="shared" si="0"/>
        <v>8.6633663366336631</v>
      </c>
      <c r="G4" s="207">
        <f t="shared" si="0"/>
        <v>9.8391089108910901</v>
      </c>
      <c r="H4" s="207">
        <f t="shared" si="0"/>
        <v>6.9925742574257432</v>
      </c>
      <c r="I4" s="207">
        <f t="shared" si="0"/>
        <v>6.6831683168316838</v>
      </c>
      <c r="J4" s="207">
        <f t="shared" si="0"/>
        <v>13.242574257425744</v>
      </c>
      <c r="K4" s="207">
        <f t="shared" si="0"/>
        <v>3.4034653465346536</v>
      </c>
      <c r="L4" s="207">
        <f t="shared" si="0"/>
        <v>2.4752475247524752</v>
      </c>
      <c r="M4" s="207">
        <f t="shared" si="0"/>
        <v>2.5990099009900991</v>
      </c>
      <c r="N4" s="207">
        <f t="shared" si="0"/>
        <v>13.79950495049505</v>
      </c>
      <c r="O4" s="207">
        <f t="shared" si="0"/>
        <v>6.8069306930693072</v>
      </c>
      <c r="P4" s="207">
        <f t="shared" si="0"/>
        <v>18.007425742574256</v>
      </c>
      <c r="Q4" s="207">
        <f t="shared" si="0"/>
        <v>15.594059405940595</v>
      </c>
      <c r="R4" s="207">
        <f t="shared" si="0"/>
        <v>8.6014851485148505</v>
      </c>
      <c r="S4" s="207">
        <f t="shared" si="0"/>
        <v>9.5297029702970306</v>
      </c>
      <c r="T4" s="207">
        <f t="shared" si="0"/>
        <v>4.455445544554455</v>
      </c>
      <c r="U4" s="207">
        <f t="shared" si="0"/>
        <v>10.891089108910892</v>
      </c>
      <c r="V4" s="207">
        <f t="shared" si="0"/>
        <v>9.4059405940594054</v>
      </c>
      <c r="W4" s="207">
        <f t="shared" si="0"/>
        <v>11.076732673267326</v>
      </c>
      <c r="X4" s="207">
        <f t="shared" si="0"/>
        <v>7.1163366336633658</v>
      </c>
      <c r="Y4" s="207">
        <f t="shared" si="0"/>
        <v>11.014851485148515</v>
      </c>
      <c r="Z4" s="207">
        <f t="shared" si="0"/>
        <v>4.455445544554455</v>
      </c>
      <c r="AA4" s="207">
        <f t="shared" si="0"/>
        <v>3.2797029702970297</v>
      </c>
      <c r="AB4" s="207">
        <f t="shared" si="0"/>
        <v>10.767326732673267</v>
      </c>
      <c r="AC4" s="207">
        <f t="shared" si="0"/>
        <v>6.7450495049504955</v>
      </c>
      <c r="AD4" s="207">
        <f t="shared" si="0"/>
        <v>4.0841584158415847</v>
      </c>
      <c r="AE4" s="207">
        <f t="shared" si="0"/>
        <v>18.626237623762375</v>
      </c>
      <c r="AF4" s="207">
        <f t="shared" si="0"/>
        <v>8.3539603960396036</v>
      </c>
      <c r="AG4" s="207">
        <f t="shared" si="0"/>
        <v>8.7252475247524739</v>
      </c>
      <c r="AH4" s="207">
        <f t="shared" si="0"/>
        <v>2.8465346534653468</v>
      </c>
      <c r="AI4" s="207">
        <f t="shared" si="0"/>
        <v>3.527227722772277</v>
      </c>
      <c r="AJ4" s="207">
        <f t="shared" si="0"/>
        <v>3.2797029702970297</v>
      </c>
      <c r="AK4" s="207">
        <f t="shared" si="0"/>
        <v>21.03960396039604</v>
      </c>
      <c r="AL4" s="207">
        <f t="shared" si="0"/>
        <v>11.076732673267326</v>
      </c>
      <c r="AM4" s="208"/>
      <c r="AN4" s="195"/>
    </row>
    <row r="5" spans="1:41" ht="13.5" customHeight="1" x14ac:dyDescent="0.2">
      <c r="A5" s="269" t="str">
        <f>'問10-1M（表）'!A5</f>
        <v>男性(n = 705 )　　</v>
      </c>
      <c r="B5" s="34">
        <v>705</v>
      </c>
      <c r="C5" s="28">
        <v>93</v>
      </c>
      <c r="D5" s="29">
        <v>40</v>
      </c>
      <c r="E5" s="29">
        <v>50</v>
      </c>
      <c r="F5" s="29">
        <v>66</v>
      </c>
      <c r="G5" s="29">
        <v>69</v>
      </c>
      <c r="H5" s="29">
        <v>55</v>
      </c>
      <c r="I5" s="29">
        <v>55</v>
      </c>
      <c r="J5" s="29">
        <v>84</v>
      </c>
      <c r="K5" s="29">
        <v>28</v>
      </c>
      <c r="L5" s="29">
        <v>15</v>
      </c>
      <c r="M5" s="29">
        <v>17</v>
      </c>
      <c r="N5" s="29">
        <v>107</v>
      </c>
      <c r="O5" s="29">
        <v>55</v>
      </c>
      <c r="P5" s="29">
        <v>148</v>
      </c>
      <c r="Q5" s="29">
        <v>122</v>
      </c>
      <c r="R5" s="29">
        <v>69</v>
      </c>
      <c r="S5" s="29">
        <v>82</v>
      </c>
      <c r="T5" s="29">
        <v>46</v>
      </c>
      <c r="U5" s="29">
        <v>87</v>
      </c>
      <c r="V5" s="29">
        <v>54</v>
      </c>
      <c r="W5" s="29">
        <v>77</v>
      </c>
      <c r="X5" s="29">
        <v>57</v>
      </c>
      <c r="Y5" s="29">
        <v>61</v>
      </c>
      <c r="Z5" s="29">
        <v>32</v>
      </c>
      <c r="AA5" s="29">
        <v>33</v>
      </c>
      <c r="AB5" s="29">
        <v>97</v>
      </c>
      <c r="AC5" s="29">
        <v>57</v>
      </c>
      <c r="AD5" s="29">
        <v>31</v>
      </c>
      <c r="AE5" s="29">
        <v>124</v>
      </c>
      <c r="AF5" s="29">
        <v>53</v>
      </c>
      <c r="AG5" s="29">
        <v>56</v>
      </c>
      <c r="AH5" s="29">
        <v>21</v>
      </c>
      <c r="AI5" s="29">
        <v>24</v>
      </c>
      <c r="AJ5" s="29">
        <v>31</v>
      </c>
      <c r="AK5" s="29">
        <v>168</v>
      </c>
      <c r="AL5" s="29">
        <v>108</v>
      </c>
      <c r="AM5" s="30"/>
      <c r="AN5" s="5">
        <f>SUM(C5:AM5)</f>
        <v>2372</v>
      </c>
      <c r="AO5" t="str">
        <f>" 男性（ n = "&amp;B5&amp;"）"</f>
        <v xml:space="preserve"> 男性（ n = 705）</v>
      </c>
    </row>
    <row r="6" spans="1:41" x14ac:dyDescent="0.2">
      <c r="A6" s="270"/>
      <c r="B6" s="35">
        <f>B5/$B$3*100</f>
        <v>43.626237623762378</v>
      </c>
      <c r="C6" s="20">
        <f t="shared" ref="C6:AL6" si="1">C5/$B$5*100</f>
        <v>13.191489361702127</v>
      </c>
      <c r="D6" s="207">
        <f t="shared" si="1"/>
        <v>5.6737588652482271</v>
      </c>
      <c r="E6" s="207">
        <f t="shared" si="1"/>
        <v>7.0921985815602842</v>
      </c>
      <c r="F6" s="207">
        <f t="shared" si="1"/>
        <v>9.3617021276595747</v>
      </c>
      <c r="G6" s="207">
        <f t="shared" si="1"/>
        <v>9.787234042553191</v>
      </c>
      <c r="H6" s="207">
        <f t="shared" si="1"/>
        <v>7.8014184397163122</v>
      </c>
      <c r="I6" s="207">
        <f t="shared" si="1"/>
        <v>7.8014184397163122</v>
      </c>
      <c r="J6" s="207">
        <f t="shared" si="1"/>
        <v>11.914893617021278</v>
      </c>
      <c r="K6" s="207">
        <f t="shared" si="1"/>
        <v>3.9716312056737593</v>
      </c>
      <c r="L6" s="207">
        <f t="shared" si="1"/>
        <v>2.1276595744680851</v>
      </c>
      <c r="M6" s="207">
        <f t="shared" si="1"/>
        <v>2.4113475177304964</v>
      </c>
      <c r="N6" s="207">
        <f t="shared" si="1"/>
        <v>15.177304964539006</v>
      </c>
      <c r="O6" s="207">
        <f t="shared" si="1"/>
        <v>7.8014184397163122</v>
      </c>
      <c r="P6" s="207">
        <f t="shared" si="1"/>
        <v>20.99290780141844</v>
      </c>
      <c r="Q6" s="207">
        <f t="shared" si="1"/>
        <v>17.304964539007091</v>
      </c>
      <c r="R6" s="207">
        <f t="shared" si="1"/>
        <v>9.787234042553191</v>
      </c>
      <c r="S6" s="207">
        <f t="shared" si="1"/>
        <v>11.631205673758865</v>
      </c>
      <c r="T6" s="207">
        <f t="shared" si="1"/>
        <v>6.5248226950354606</v>
      </c>
      <c r="U6" s="207">
        <f t="shared" si="1"/>
        <v>12.340425531914894</v>
      </c>
      <c r="V6" s="207">
        <f t="shared" si="1"/>
        <v>7.6595744680851059</v>
      </c>
      <c r="W6" s="207">
        <f t="shared" si="1"/>
        <v>10.921985815602838</v>
      </c>
      <c r="X6" s="207">
        <f t="shared" si="1"/>
        <v>8.085106382978724</v>
      </c>
      <c r="Y6" s="207">
        <f t="shared" si="1"/>
        <v>8.6524822695035457</v>
      </c>
      <c r="Z6" s="207">
        <f t="shared" si="1"/>
        <v>4.5390070921985819</v>
      </c>
      <c r="AA6" s="207">
        <f t="shared" si="1"/>
        <v>4.6808510638297873</v>
      </c>
      <c r="AB6" s="207">
        <f t="shared" si="1"/>
        <v>13.75886524822695</v>
      </c>
      <c r="AC6" s="207">
        <f t="shared" si="1"/>
        <v>8.085106382978724</v>
      </c>
      <c r="AD6" s="207">
        <f t="shared" si="1"/>
        <v>4.3971631205673756</v>
      </c>
      <c r="AE6" s="207">
        <f t="shared" si="1"/>
        <v>17.588652482269502</v>
      </c>
      <c r="AF6" s="207">
        <f t="shared" si="1"/>
        <v>7.5177304964539005</v>
      </c>
      <c r="AG6" s="207">
        <f t="shared" si="1"/>
        <v>7.9432624113475185</v>
      </c>
      <c r="AH6" s="207">
        <f t="shared" si="1"/>
        <v>2.9787234042553195</v>
      </c>
      <c r="AI6" s="207">
        <f t="shared" si="1"/>
        <v>3.4042553191489362</v>
      </c>
      <c r="AJ6" s="207">
        <f t="shared" si="1"/>
        <v>4.3971631205673756</v>
      </c>
      <c r="AK6" s="207">
        <f t="shared" si="1"/>
        <v>23.829787234042556</v>
      </c>
      <c r="AL6" s="207">
        <f t="shared" si="1"/>
        <v>15.319148936170212</v>
      </c>
      <c r="AM6" s="208"/>
      <c r="AN6" s="195"/>
    </row>
    <row r="7" spans="1:41" ht="13.5" customHeight="1" x14ac:dyDescent="0.2">
      <c r="A7" s="269" t="str">
        <f>'問10-1M（表）'!A7</f>
        <v>女性(n = 901 )　　</v>
      </c>
      <c r="B7" s="34">
        <v>901</v>
      </c>
      <c r="C7" s="252">
        <v>98</v>
      </c>
      <c r="D7" s="251">
        <v>43</v>
      </c>
      <c r="E7" s="251">
        <v>55</v>
      </c>
      <c r="F7" s="251">
        <v>74</v>
      </c>
      <c r="G7" s="251">
        <v>89</v>
      </c>
      <c r="H7" s="251">
        <v>58</v>
      </c>
      <c r="I7" s="251">
        <v>52</v>
      </c>
      <c r="J7" s="251">
        <v>128</v>
      </c>
      <c r="K7" s="251">
        <v>27</v>
      </c>
      <c r="L7" s="251">
        <v>25</v>
      </c>
      <c r="M7" s="251">
        <v>25</v>
      </c>
      <c r="N7" s="251">
        <v>114</v>
      </c>
      <c r="O7" s="251">
        <v>55</v>
      </c>
      <c r="P7" s="251">
        <v>142</v>
      </c>
      <c r="Q7" s="251">
        <v>130</v>
      </c>
      <c r="R7" s="251">
        <v>70</v>
      </c>
      <c r="S7" s="251">
        <v>72</v>
      </c>
      <c r="T7" s="251">
        <v>25</v>
      </c>
      <c r="U7" s="251">
        <v>88</v>
      </c>
      <c r="V7" s="251">
        <v>97</v>
      </c>
      <c r="W7" s="251">
        <v>102</v>
      </c>
      <c r="X7" s="251">
        <v>58</v>
      </c>
      <c r="Y7" s="251">
        <v>117</v>
      </c>
      <c r="Z7" s="251">
        <v>40</v>
      </c>
      <c r="AA7" s="251">
        <v>20</v>
      </c>
      <c r="AB7" s="251">
        <v>77</v>
      </c>
      <c r="AC7" s="251">
        <v>52</v>
      </c>
      <c r="AD7" s="251">
        <v>34</v>
      </c>
      <c r="AE7" s="251">
        <v>176</v>
      </c>
      <c r="AF7" s="251">
        <v>82</v>
      </c>
      <c r="AG7" s="251">
        <v>85</v>
      </c>
      <c r="AH7" s="251">
        <v>25</v>
      </c>
      <c r="AI7" s="251">
        <v>33</v>
      </c>
      <c r="AJ7" s="251">
        <v>22</v>
      </c>
      <c r="AK7" s="251">
        <v>172</v>
      </c>
      <c r="AL7" s="251">
        <v>70</v>
      </c>
      <c r="AM7" s="30"/>
      <c r="AN7" s="5">
        <f>SUM(C7:AM7)</f>
        <v>2632</v>
      </c>
      <c r="AO7" t="str">
        <f>" 女性（ n = "&amp;B7&amp;"）"</f>
        <v xml:space="preserve"> 女性（ n = 901）</v>
      </c>
    </row>
    <row r="8" spans="1:41" x14ac:dyDescent="0.2">
      <c r="A8" s="270"/>
      <c r="B8" s="35">
        <f>B7/$B$3*100</f>
        <v>55.754950495049506</v>
      </c>
      <c r="C8" s="248">
        <f t="shared" ref="C8:AL8" si="2">C7/$B$7*100</f>
        <v>10.876803551609324</v>
      </c>
      <c r="D8" s="247">
        <f t="shared" si="2"/>
        <v>4.7724750277469479</v>
      </c>
      <c r="E8" s="247">
        <f t="shared" si="2"/>
        <v>6.1043285238623746</v>
      </c>
      <c r="F8" s="247">
        <f t="shared" si="2"/>
        <v>8.2130965593784691</v>
      </c>
      <c r="G8" s="247">
        <f t="shared" si="2"/>
        <v>9.8779134295227529</v>
      </c>
      <c r="H8" s="247">
        <f t="shared" si="2"/>
        <v>6.4372918978912317</v>
      </c>
      <c r="I8" s="247">
        <f t="shared" si="2"/>
        <v>5.7713651498335183</v>
      </c>
      <c r="J8" s="247">
        <f t="shared" si="2"/>
        <v>14.206437291897892</v>
      </c>
      <c r="K8" s="247">
        <f t="shared" si="2"/>
        <v>2.9966703662597114</v>
      </c>
      <c r="L8" s="247">
        <f t="shared" si="2"/>
        <v>2.7746947835738069</v>
      </c>
      <c r="M8" s="247">
        <f t="shared" si="2"/>
        <v>2.7746947835738069</v>
      </c>
      <c r="N8" s="247">
        <f t="shared" si="2"/>
        <v>12.652608213096558</v>
      </c>
      <c r="O8" s="247">
        <f t="shared" si="2"/>
        <v>6.1043285238623746</v>
      </c>
      <c r="P8" s="247">
        <f t="shared" si="2"/>
        <v>15.760266370699222</v>
      </c>
      <c r="Q8" s="247">
        <f t="shared" si="2"/>
        <v>14.428412874583795</v>
      </c>
      <c r="R8" s="247">
        <f t="shared" si="2"/>
        <v>7.7691453940066584</v>
      </c>
      <c r="S8" s="247">
        <f t="shared" si="2"/>
        <v>7.9911209766925646</v>
      </c>
      <c r="T8" s="247">
        <f t="shared" si="2"/>
        <v>2.7746947835738069</v>
      </c>
      <c r="U8" s="247">
        <f t="shared" si="2"/>
        <v>9.7669256381798011</v>
      </c>
      <c r="V8" s="247">
        <f t="shared" si="2"/>
        <v>10.765815760266371</v>
      </c>
      <c r="W8" s="247">
        <f t="shared" si="2"/>
        <v>11.320754716981133</v>
      </c>
      <c r="X8" s="247">
        <f t="shared" si="2"/>
        <v>6.4372918978912317</v>
      </c>
      <c r="Y8" s="247">
        <f t="shared" si="2"/>
        <v>12.985571587125417</v>
      </c>
      <c r="Z8" s="247">
        <f t="shared" si="2"/>
        <v>4.4395116537180908</v>
      </c>
      <c r="AA8" s="247">
        <f t="shared" si="2"/>
        <v>2.2197558268590454</v>
      </c>
      <c r="AB8" s="247">
        <f t="shared" si="2"/>
        <v>8.5460599334073262</v>
      </c>
      <c r="AC8" s="247">
        <f t="shared" si="2"/>
        <v>5.7713651498335183</v>
      </c>
      <c r="AD8" s="247">
        <f t="shared" si="2"/>
        <v>3.7735849056603774</v>
      </c>
      <c r="AE8" s="247">
        <f t="shared" si="2"/>
        <v>19.533851276359602</v>
      </c>
      <c r="AF8" s="247">
        <f t="shared" si="2"/>
        <v>9.1009988901220868</v>
      </c>
      <c r="AG8" s="247">
        <f t="shared" si="2"/>
        <v>9.433962264150944</v>
      </c>
      <c r="AH8" s="247">
        <f t="shared" si="2"/>
        <v>2.7746947835738069</v>
      </c>
      <c r="AI8" s="247">
        <f t="shared" si="2"/>
        <v>3.6625971143174252</v>
      </c>
      <c r="AJ8" s="247">
        <f t="shared" si="2"/>
        <v>2.4417314095449503</v>
      </c>
      <c r="AK8" s="247">
        <f t="shared" si="2"/>
        <v>19.089900110987791</v>
      </c>
      <c r="AL8" s="247">
        <f t="shared" si="2"/>
        <v>7.7691453940066584</v>
      </c>
      <c r="AM8" s="208"/>
      <c r="AN8" s="195"/>
    </row>
    <row r="9" spans="1:41" s="186" customFormat="1" x14ac:dyDescent="0.2">
      <c r="A9" s="184"/>
      <c r="B9" s="182"/>
      <c r="C9" s="182">
        <f t="shared" ref="C9:AL9" si="3">_xlfn.RANK.EQ(C4,$C$4:$AL$4,0)</f>
        <v>7</v>
      </c>
      <c r="D9" s="182">
        <f t="shared" si="3"/>
        <v>26</v>
      </c>
      <c r="E9" s="182">
        <f t="shared" si="3"/>
        <v>25</v>
      </c>
      <c r="F9" s="182">
        <f t="shared" si="3"/>
        <v>17</v>
      </c>
      <c r="G9" s="182">
        <f t="shared" si="3"/>
        <v>13</v>
      </c>
      <c r="H9" s="182">
        <f t="shared" si="3"/>
        <v>21</v>
      </c>
      <c r="I9" s="182">
        <f t="shared" si="3"/>
        <v>24</v>
      </c>
      <c r="J9" s="182">
        <f t="shared" si="3"/>
        <v>6</v>
      </c>
      <c r="K9" s="182">
        <f t="shared" si="3"/>
        <v>31</v>
      </c>
      <c r="L9" s="182">
        <f t="shared" si="3"/>
        <v>36</v>
      </c>
      <c r="M9" s="182">
        <f t="shared" si="3"/>
        <v>35</v>
      </c>
      <c r="N9" s="182">
        <f t="shared" si="3"/>
        <v>5</v>
      </c>
      <c r="O9" s="182">
        <f t="shared" si="3"/>
        <v>22</v>
      </c>
      <c r="P9" s="182">
        <f t="shared" si="3"/>
        <v>3</v>
      </c>
      <c r="Q9" s="182">
        <f t="shared" si="3"/>
        <v>4</v>
      </c>
      <c r="R9" s="182">
        <f t="shared" si="3"/>
        <v>18</v>
      </c>
      <c r="S9" s="182">
        <f t="shared" si="3"/>
        <v>14</v>
      </c>
      <c r="T9" s="182">
        <f t="shared" si="3"/>
        <v>27</v>
      </c>
      <c r="U9" s="182">
        <f t="shared" si="3"/>
        <v>11</v>
      </c>
      <c r="V9" s="182">
        <f t="shared" si="3"/>
        <v>15</v>
      </c>
      <c r="W9" s="182">
        <f t="shared" si="3"/>
        <v>8</v>
      </c>
      <c r="X9" s="182">
        <f t="shared" si="3"/>
        <v>20</v>
      </c>
      <c r="Y9" s="182">
        <f t="shared" si="3"/>
        <v>10</v>
      </c>
      <c r="Z9" s="182">
        <f t="shared" si="3"/>
        <v>27</v>
      </c>
      <c r="AA9" s="182">
        <f t="shared" si="3"/>
        <v>32</v>
      </c>
      <c r="AB9" s="182">
        <f t="shared" si="3"/>
        <v>12</v>
      </c>
      <c r="AC9" s="182">
        <f t="shared" si="3"/>
        <v>23</v>
      </c>
      <c r="AD9" s="182">
        <f t="shared" si="3"/>
        <v>29</v>
      </c>
      <c r="AE9" s="182">
        <f t="shared" si="3"/>
        <v>2</v>
      </c>
      <c r="AF9" s="182">
        <f t="shared" si="3"/>
        <v>19</v>
      </c>
      <c r="AG9" s="182">
        <f t="shared" si="3"/>
        <v>16</v>
      </c>
      <c r="AH9" s="182">
        <f t="shared" si="3"/>
        <v>34</v>
      </c>
      <c r="AI9" s="182">
        <f t="shared" si="3"/>
        <v>30</v>
      </c>
      <c r="AJ9" s="182">
        <f t="shared" si="3"/>
        <v>32</v>
      </c>
      <c r="AK9" s="182">
        <f t="shared" si="3"/>
        <v>1</v>
      </c>
      <c r="AL9" s="182">
        <f t="shared" si="3"/>
        <v>8</v>
      </c>
      <c r="AM9" s="182">
        <v>37</v>
      </c>
      <c r="AN9" s="182">
        <f>SUM(C9:AM9)</f>
        <v>700</v>
      </c>
    </row>
    <row r="10" spans="1:41" s="186" customFormat="1" x14ac:dyDescent="0.2">
      <c r="A10" s="26" t="s">
        <v>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</row>
    <row r="11" spans="1:41" x14ac:dyDescent="0.2">
      <c r="A11" s="6" t="s">
        <v>4</v>
      </c>
      <c r="B11" s="45"/>
      <c r="C11" s="182">
        <v>1</v>
      </c>
      <c r="D11" s="182">
        <v>2</v>
      </c>
      <c r="E11" s="182">
        <v>3</v>
      </c>
      <c r="F11" s="182">
        <v>3</v>
      </c>
      <c r="G11" s="182">
        <v>5</v>
      </c>
      <c r="H11" s="182">
        <v>6</v>
      </c>
      <c r="I11" s="182">
        <v>7</v>
      </c>
      <c r="J11" s="182">
        <v>8</v>
      </c>
      <c r="K11" s="182">
        <v>9</v>
      </c>
      <c r="L11" s="182">
        <v>9</v>
      </c>
      <c r="M11" s="182">
        <v>11</v>
      </c>
      <c r="N11" s="182">
        <v>12</v>
      </c>
      <c r="O11" s="182">
        <v>13</v>
      </c>
      <c r="P11" s="182">
        <v>14</v>
      </c>
      <c r="Q11" s="182">
        <v>15</v>
      </c>
      <c r="R11" s="182">
        <v>16</v>
      </c>
      <c r="S11" s="182">
        <v>17</v>
      </c>
      <c r="T11" s="182">
        <v>18</v>
      </c>
      <c r="U11" s="182">
        <v>19</v>
      </c>
      <c r="V11" s="182">
        <v>20</v>
      </c>
      <c r="W11" s="182">
        <v>21</v>
      </c>
      <c r="X11" s="182">
        <v>22</v>
      </c>
      <c r="Y11" s="182">
        <v>23</v>
      </c>
      <c r="Z11" s="182">
        <v>24</v>
      </c>
      <c r="AA11" s="182">
        <v>25</v>
      </c>
      <c r="AB11" s="182">
        <v>26</v>
      </c>
      <c r="AC11" s="182">
        <v>27</v>
      </c>
      <c r="AD11" s="182">
        <v>28</v>
      </c>
      <c r="AE11" s="182">
        <v>29</v>
      </c>
      <c r="AF11" s="182">
        <v>30</v>
      </c>
      <c r="AG11" s="182">
        <v>30</v>
      </c>
      <c r="AH11" s="182">
        <v>32</v>
      </c>
      <c r="AI11" s="182">
        <v>33</v>
      </c>
      <c r="AJ11" s="182">
        <v>34</v>
      </c>
      <c r="AK11" s="182">
        <v>35</v>
      </c>
      <c r="AL11" s="182">
        <v>36</v>
      </c>
      <c r="AM11" s="197">
        <v>37</v>
      </c>
    </row>
    <row r="12" spans="1:41" ht="43.2" x14ac:dyDescent="0.2">
      <c r="A12" s="12" t="s">
        <v>20</v>
      </c>
      <c r="B12" s="59" t="s">
        <v>3</v>
      </c>
      <c r="C12" s="60" t="s">
        <v>381</v>
      </c>
      <c r="D12" s="61" t="s">
        <v>392</v>
      </c>
      <c r="E12" s="61" t="s">
        <v>383</v>
      </c>
      <c r="F12" s="61" t="s">
        <v>406</v>
      </c>
      <c r="G12" s="61" t="s">
        <v>408</v>
      </c>
      <c r="H12" s="61" t="s">
        <v>407</v>
      </c>
      <c r="I12" s="61" t="s">
        <v>410</v>
      </c>
      <c r="J12" s="61" t="s">
        <v>376</v>
      </c>
      <c r="K12" s="61" t="s">
        <v>387</v>
      </c>
      <c r="L12" s="61" t="s">
        <v>378</v>
      </c>
      <c r="M12" s="61" t="s">
        <v>401</v>
      </c>
      <c r="N12" s="61" t="s">
        <v>409</v>
      </c>
      <c r="O12" s="61" t="s">
        <v>380</v>
      </c>
      <c r="P12" s="61" t="s">
        <v>385</v>
      </c>
      <c r="Q12" s="61" t="s">
        <v>384</v>
      </c>
      <c r="R12" s="62" t="s">
        <v>398</v>
      </c>
      <c r="S12" s="61" t="s">
        <v>402</v>
      </c>
      <c r="T12" s="105" t="s">
        <v>389</v>
      </c>
      <c r="U12" s="61" t="s">
        <v>399</v>
      </c>
      <c r="V12" s="105" t="s">
        <v>375</v>
      </c>
      <c r="W12" s="61" t="s">
        <v>405</v>
      </c>
      <c r="X12" s="61" t="s">
        <v>395</v>
      </c>
      <c r="Y12" s="61" t="s">
        <v>404</v>
      </c>
      <c r="Z12" s="61" t="s">
        <v>397</v>
      </c>
      <c r="AA12" s="61" t="s">
        <v>386</v>
      </c>
      <c r="AB12" s="61" t="s">
        <v>403</v>
      </c>
      <c r="AC12" s="61" t="s">
        <v>382</v>
      </c>
      <c r="AD12" s="61" t="s">
        <v>391</v>
      </c>
      <c r="AE12" s="61" t="s">
        <v>390</v>
      </c>
      <c r="AF12" s="61" t="s">
        <v>393</v>
      </c>
      <c r="AG12" s="61" t="s">
        <v>400</v>
      </c>
      <c r="AH12" s="61" t="s">
        <v>377</v>
      </c>
      <c r="AI12" s="61" t="s">
        <v>417</v>
      </c>
      <c r="AJ12" s="61" t="s">
        <v>388</v>
      </c>
      <c r="AK12" s="61" t="s">
        <v>379</v>
      </c>
      <c r="AL12" s="61" t="s">
        <v>394</v>
      </c>
      <c r="AM12" s="63" t="s">
        <v>0</v>
      </c>
      <c r="AN12" s="5" t="s">
        <v>118</v>
      </c>
    </row>
    <row r="13" spans="1:41" ht="13.5" customHeight="1" x14ac:dyDescent="0.2">
      <c r="A13" s="269" t="str">
        <f>A3</f>
        <v>全体(n = 1,616 )　　</v>
      </c>
      <c r="B13" s="113">
        <f>B3</f>
        <v>1616</v>
      </c>
      <c r="C13" s="121">
        <v>340</v>
      </c>
      <c r="D13" s="122">
        <v>301</v>
      </c>
      <c r="E13" s="122">
        <v>291</v>
      </c>
      <c r="F13" s="122">
        <v>252</v>
      </c>
      <c r="G13" s="122">
        <v>223</v>
      </c>
      <c r="H13" s="122">
        <v>214</v>
      </c>
      <c r="I13" s="122">
        <v>191</v>
      </c>
      <c r="J13" s="122">
        <v>179</v>
      </c>
      <c r="K13" s="122">
        <v>179</v>
      </c>
      <c r="L13" s="122">
        <v>178</v>
      </c>
      <c r="M13" s="122">
        <v>176</v>
      </c>
      <c r="N13" s="122">
        <v>174</v>
      </c>
      <c r="O13" s="122">
        <v>159</v>
      </c>
      <c r="P13" s="122">
        <v>154</v>
      </c>
      <c r="Q13" s="122">
        <v>152</v>
      </c>
      <c r="R13" s="123">
        <v>141</v>
      </c>
      <c r="S13" s="122">
        <v>140</v>
      </c>
      <c r="T13" s="122">
        <v>139</v>
      </c>
      <c r="U13" s="122">
        <v>135</v>
      </c>
      <c r="V13" s="154">
        <v>115</v>
      </c>
      <c r="W13" s="122">
        <v>113</v>
      </c>
      <c r="X13" s="122">
        <v>110</v>
      </c>
      <c r="Y13" s="122">
        <v>109</v>
      </c>
      <c r="Z13" s="122">
        <v>108</v>
      </c>
      <c r="AA13" s="122">
        <v>105</v>
      </c>
      <c r="AB13" s="122">
        <v>83</v>
      </c>
      <c r="AC13" s="122">
        <v>72</v>
      </c>
      <c r="AD13" s="122">
        <v>72</v>
      </c>
      <c r="AE13" s="122">
        <v>66</v>
      </c>
      <c r="AF13" s="122">
        <v>57</v>
      </c>
      <c r="AG13" s="122">
        <v>55</v>
      </c>
      <c r="AH13" s="122">
        <v>53</v>
      </c>
      <c r="AI13" s="122">
        <v>53</v>
      </c>
      <c r="AJ13" s="122">
        <v>46</v>
      </c>
      <c r="AK13" s="122">
        <v>42</v>
      </c>
      <c r="AL13" s="122">
        <v>40</v>
      </c>
      <c r="AM13" s="124"/>
      <c r="AN13" s="5">
        <f>SUM(C13:AM13)</f>
        <v>5017</v>
      </c>
    </row>
    <row r="14" spans="1:41" x14ac:dyDescent="0.2">
      <c r="A14" s="270"/>
      <c r="B14" s="114">
        <f>B4</f>
        <v>100</v>
      </c>
      <c r="C14" s="125">
        <v>21.03960396039604</v>
      </c>
      <c r="D14" s="126">
        <v>18.626237623762375</v>
      </c>
      <c r="E14" s="126">
        <v>18.007425742574256</v>
      </c>
      <c r="F14" s="126">
        <v>15.594059405940595</v>
      </c>
      <c r="G14" s="126">
        <v>13.79950495049505</v>
      </c>
      <c r="H14" s="126">
        <v>13.242574257425744</v>
      </c>
      <c r="I14" s="126">
        <v>11.819306930693068</v>
      </c>
      <c r="J14" s="126">
        <v>11.076732673267326</v>
      </c>
      <c r="K14" s="126">
        <v>11.076732673267326</v>
      </c>
      <c r="L14" s="126">
        <v>11.014851485148515</v>
      </c>
      <c r="M14" s="126">
        <v>10.891089108910892</v>
      </c>
      <c r="N14" s="126">
        <v>10.767326732673267</v>
      </c>
      <c r="O14" s="126">
        <v>9.8391089108910901</v>
      </c>
      <c r="P14" s="126">
        <v>9.5297029702970306</v>
      </c>
      <c r="Q14" s="126">
        <v>9.4059405940594054</v>
      </c>
      <c r="R14" s="127">
        <v>8.7252475247524739</v>
      </c>
      <c r="S14" s="126">
        <v>8.6633663366336631</v>
      </c>
      <c r="T14" s="126">
        <v>8.6014851485148505</v>
      </c>
      <c r="U14" s="126">
        <v>8.3539603960396036</v>
      </c>
      <c r="V14" s="142">
        <v>7.1163366336633658</v>
      </c>
      <c r="W14" s="126">
        <v>6.9925742574257432</v>
      </c>
      <c r="X14" s="126">
        <v>6.8069306930693072</v>
      </c>
      <c r="Y14" s="126">
        <v>6.7450495049504955</v>
      </c>
      <c r="Z14" s="126">
        <v>6.6831683168316838</v>
      </c>
      <c r="AA14" s="126">
        <v>6.4975247524752477</v>
      </c>
      <c r="AB14" s="126">
        <v>5.1361386138613856</v>
      </c>
      <c r="AC14" s="126">
        <v>4.455445544554455</v>
      </c>
      <c r="AD14" s="126">
        <v>4.455445544554455</v>
      </c>
      <c r="AE14" s="126">
        <v>4.0841584158415847</v>
      </c>
      <c r="AF14" s="126">
        <v>3.527227722772277</v>
      </c>
      <c r="AG14" s="126">
        <v>3.4034653465346536</v>
      </c>
      <c r="AH14" s="126">
        <v>3.2797029702970297</v>
      </c>
      <c r="AI14" s="126">
        <v>3.2797029702970297</v>
      </c>
      <c r="AJ14" s="126">
        <v>2.8465346534653468</v>
      </c>
      <c r="AK14" s="126">
        <v>2.5990099009900991</v>
      </c>
      <c r="AL14" s="126">
        <v>2.4752475247524752</v>
      </c>
      <c r="AM14" s="128"/>
      <c r="AN14" s="195"/>
    </row>
    <row r="15" spans="1:41" ht="13.5" customHeight="1" x14ac:dyDescent="0.2">
      <c r="A15" s="269" t="str">
        <f>A5</f>
        <v>男性(n = 705 )　　</v>
      </c>
      <c r="B15" s="113">
        <f>B5</f>
        <v>705</v>
      </c>
      <c r="C15" s="121">
        <v>168</v>
      </c>
      <c r="D15" s="122">
        <v>124</v>
      </c>
      <c r="E15" s="122">
        <v>148</v>
      </c>
      <c r="F15" s="122">
        <v>122</v>
      </c>
      <c r="G15" s="122">
        <v>107</v>
      </c>
      <c r="H15" s="122">
        <v>84</v>
      </c>
      <c r="I15" s="122">
        <v>93</v>
      </c>
      <c r="J15" s="122">
        <v>77</v>
      </c>
      <c r="K15" s="122">
        <v>108</v>
      </c>
      <c r="L15" s="122">
        <v>61</v>
      </c>
      <c r="M15" s="122">
        <v>87</v>
      </c>
      <c r="N15" s="122">
        <v>97</v>
      </c>
      <c r="O15" s="122">
        <v>69</v>
      </c>
      <c r="P15" s="122">
        <v>82</v>
      </c>
      <c r="Q15" s="122">
        <v>54</v>
      </c>
      <c r="R15" s="123">
        <v>56</v>
      </c>
      <c r="S15" s="122">
        <v>66</v>
      </c>
      <c r="T15" s="122">
        <v>69</v>
      </c>
      <c r="U15" s="122">
        <v>53</v>
      </c>
      <c r="V15" s="154">
        <v>57</v>
      </c>
      <c r="W15" s="122">
        <v>55</v>
      </c>
      <c r="X15" s="122">
        <v>55</v>
      </c>
      <c r="Y15" s="122">
        <v>57</v>
      </c>
      <c r="Z15" s="122">
        <v>55</v>
      </c>
      <c r="AA15" s="122">
        <v>50</v>
      </c>
      <c r="AB15" s="122">
        <v>40</v>
      </c>
      <c r="AC15" s="122">
        <v>46</v>
      </c>
      <c r="AD15" s="122">
        <v>32</v>
      </c>
      <c r="AE15" s="122">
        <v>31</v>
      </c>
      <c r="AF15" s="122">
        <v>24</v>
      </c>
      <c r="AG15" s="122">
        <v>28</v>
      </c>
      <c r="AH15" s="122">
        <v>33</v>
      </c>
      <c r="AI15" s="122">
        <v>31</v>
      </c>
      <c r="AJ15" s="122">
        <v>21</v>
      </c>
      <c r="AK15" s="122">
        <v>17</v>
      </c>
      <c r="AL15" s="122">
        <v>15</v>
      </c>
      <c r="AM15" s="124"/>
      <c r="AN15" s="5">
        <f>SUM(C15:AM15)</f>
        <v>2372</v>
      </c>
    </row>
    <row r="16" spans="1:41" x14ac:dyDescent="0.2">
      <c r="A16" s="270"/>
      <c r="B16" s="114">
        <f>B6</f>
        <v>43.626237623762378</v>
      </c>
      <c r="C16" s="125">
        <v>23.829787234042556</v>
      </c>
      <c r="D16" s="126">
        <v>17.588652482269502</v>
      </c>
      <c r="E16" s="126">
        <v>20.99290780141844</v>
      </c>
      <c r="F16" s="126">
        <v>17.304964539007091</v>
      </c>
      <c r="G16" s="126">
        <v>15.177304964539006</v>
      </c>
      <c r="H16" s="126">
        <v>11.914893617021278</v>
      </c>
      <c r="I16" s="126">
        <v>13.191489361702127</v>
      </c>
      <c r="J16" s="126">
        <v>10.921985815602838</v>
      </c>
      <c r="K16" s="126">
        <v>15.319148936170212</v>
      </c>
      <c r="L16" s="126">
        <v>8.6524822695035457</v>
      </c>
      <c r="M16" s="126">
        <v>12.340425531914894</v>
      </c>
      <c r="N16" s="126">
        <v>13.75886524822695</v>
      </c>
      <c r="O16" s="126">
        <v>9.787234042553191</v>
      </c>
      <c r="P16" s="126">
        <v>11.631205673758865</v>
      </c>
      <c r="Q16" s="126">
        <v>7.6595744680851059</v>
      </c>
      <c r="R16" s="127">
        <v>7.9432624113475185</v>
      </c>
      <c r="S16" s="126">
        <v>9.3617021276595747</v>
      </c>
      <c r="T16" s="126">
        <v>9.787234042553191</v>
      </c>
      <c r="U16" s="126">
        <v>7.5177304964539005</v>
      </c>
      <c r="V16" s="142">
        <v>8.085106382978724</v>
      </c>
      <c r="W16" s="126">
        <v>7.8014184397163122</v>
      </c>
      <c r="X16" s="126">
        <v>7.8014184397163122</v>
      </c>
      <c r="Y16" s="126">
        <v>8.085106382978724</v>
      </c>
      <c r="Z16" s="126">
        <v>7.8014184397163122</v>
      </c>
      <c r="AA16" s="126">
        <v>7.0921985815602842</v>
      </c>
      <c r="AB16" s="126">
        <v>5.6737588652482271</v>
      </c>
      <c r="AC16" s="126">
        <v>6.5248226950354606</v>
      </c>
      <c r="AD16" s="126">
        <v>4.5390070921985819</v>
      </c>
      <c r="AE16" s="126">
        <v>4.3971631205673756</v>
      </c>
      <c r="AF16" s="126">
        <v>3.4042553191489362</v>
      </c>
      <c r="AG16" s="126">
        <v>3.9716312056737593</v>
      </c>
      <c r="AH16" s="126">
        <v>4.6808510638297873</v>
      </c>
      <c r="AI16" s="126">
        <v>4.3971631205673756</v>
      </c>
      <c r="AJ16" s="126">
        <v>2.9787234042553195</v>
      </c>
      <c r="AK16" s="126">
        <v>2.4113475177304964</v>
      </c>
      <c r="AL16" s="126">
        <v>2.1276595744680851</v>
      </c>
      <c r="AM16" s="128"/>
      <c r="AN16" s="195"/>
    </row>
    <row r="17" spans="1:40" ht="13.5" customHeight="1" x14ac:dyDescent="0.2">
      <c r="A17" s="269" t="str">
        <f>A7</f>
        <v>女性(n = 901 )　　</v>
      </c>
      <c r="B17" s="113">
        <f>B7</f>
        <v>901</v>
      </c>
      <c r="C17" s="121">
        <v>172</v>
      </c>
      <c r="D17" s="122">
        <v>176</v>
      </c>
      <c r="E17" s="122">
        <v>142</v>
      </c>
      <c r="F17" s="122">
        <v>130</v>
      </c>
      <c r="G17" s="122">
        <v>114</v>
      </c>
      <c r="H17" s="122">
        <v>128</v>
      </c>
      <c r="I17" s="122">
        <v>98</v>
      </c>
      <c r="J17" s="122">
        <v>102</v>
      </c>
      <c r="K17" s="122">
        <v>70</v>
      </c>
      <c r="L17" s="122">
        <v>117</v>
      </c>
      <c r="M17" s="122">
        <v>88</v>
      </c>
      <c r="N17" s="122">
        <v>77</v>
      </c>
      <c r="O17" s="122">
        <v>89</v>
      </c>
      <c r="P17" s="122">
        <v>72</v>
      </c>
      <c r="Q17" s="122">
        <v>97</v>
      </c>
      <c r="R17" s="123">
        <v>85</v>
      </c>
      <c r="S17" s="122">
        <v>74</v>
      </c>
      <c r="T17" s="122">
        <v>70</v>
      </c>
      <c r="U17" s="122">
        <v>82</v>
      </c>
      <c r="V17" s="154">
        <v>58</v>
      </c>
      <c r="W17" s="122">
        <v>58</v>
      </c>
      <c r="X17" s="122">
        <v>55</v>
      </c>
      <c r="Y17" s="122">
        <v>52</v>
      </c>
      <c r="Z17" s="122">
        <v>52</v>
      </c>
      <c r="AA17" s="122">
        <v>55</v>
      </c>
      <c r="AB17" s="122">
        <v>43</v>
      </c>
      <c r="AC17" s="122">
        <v>25</v>
      </c>
      <c r="AD17" s="122">
        <v>40</v>
      </c>
      <c r="AE17" s="122">
        <v>34</v>
      </c>
      <c r="AF17" s="122">
        <v>33</v>
      </c>
      <c r="AG17" s="122">
        <v>27</v>
      </c>
      <c r="AH17" s="122">
        <v>20</v>
      </c>
      <c r="AI17" s="122">
        <v>22</v>
      </c>
      <c r="AJ17" s="122">
        <v>25</v>
      </c>
      <c r="AK17" s="122">
        <v>25</v>
      </c>
      <c r="AL17" s="122">
        <v>25</v>
      </c>
      <c r="AM17" s="124"/>
      <c r="AN17" s="5">
        <f>SUM(C17:AM17)</f>
        <v>2632</v>
      </c>
    </row>
    <row r="18" spans="1:40" x14ac:dyDescent="0.2">
      <c r="A18" s="270"/>
      <c r="B18" s="114">
        <f>B8</f>
        <v>55.754950495049506</v>
      </c>
      <c r="C18" s="125">
        <v>19.089900110987791</v>
      </c>
      <c r="D18" s="126">
        <v>19.533851276359602</v>
      </c>
      <c r="E18" s="126">
        <v>15.760266370699222</v>
      </c>
      <c r="F18" s="126">
        <v>14.428412874583795</v>
      </c>
      <c r="G18" s="126">
        <v>12.652608213096558</v>
      </c>
      <c r="H18" s="126">
        <v>14.206437291897892</v>
      </c>
      <c r="I18" s="126">
        <v>10.876803551609324</v>
      </c>
      <c r="J18" s="126">
        <v>11.320754716981133</v>
      </c>
      <c r="K18" s="126">
        <v>7.7691453940066584</v>
      </c>
      <c r="L18" s="126">
        <v>12.985571587125417</v>
      </c>
      <c r="M18" s="126">
        <v>9.7669256381798011</v>
      </c>
      <c r="N18" s="126">
        <v>8.5460599334073262</v>
      </c>
      <c r="O18" s="126">
        <v>9.8779134295227529</v>
      </c>
      <c r="P18" s="126">
        <v>7.9911209766925646</v>
      </c>
      <c r="Q18" s="126">
        <v>10.765815760266371</v>
      </c>
      <c r="R18" s="127">
        <v>9.433962264150944</v>
      </c>
      <c r="S18" s="126">
        <v>8.2130965593784691</v>
      </c>
      <c r="T18" s="126">
        <v>7.7691453940066584</v>
      </c>
      <c r="U18" s="126">
        <v>9.1009988901220868</v>
      </c>
      <c r="V18" s="142">
        <v>6.4372918978912317</v>
      </c>
      <c r="W18" s="126">
        <v>6.4372918978912317</v>
      </c>
      <c r="X18" s="126">
        <v>6.1043285238623746</v>
      </c>
      <c r="Y18" s="126">
        <v>5.7713651498335183</v>
      </c>
      <c r="Z18" s="126">
        <v>5.7713651498335183</v>
      </c>
      <c r="AA18" s="126">
        <v>6.1043285238623746</v>
      </c>
      <c r="AB18" s="126">
        <v>4.7724750277469479</v>
      </c>
      <c r="AC18" s="126">
        <v>2.7746947835738069</v>
      </c>
      <c r="AD18" s="126">
        <v>4.4395116537180908</v>
      </c>
      <c r="AE18" s="126">
        <v>3.7735849056603774</v>
      </c>
      <c r="AF18" s="126">
        <v>3.6625971143174252</v>
      </c>
      <c r="AG18" s="126">
        <v>2.9966703662597114</v>
      </c>
      <c r="AH18" s="126">
        <v>2.2197558268590454</v>
      </c>
      <c r="AI18" s="126">
        <v>2.4417314095449503</v>
      </c>
      <c r="AJ18" s="126">
        <v>2.7746947835738069</v>
      </c>
      <c r="AK18" s="126">
        <v>2.7746947835738069</v>
      </c>
      <c r="AL18" s="126">
        <v>2.7746947835738069</v>
      </c>
      <c r="AM18" s="128"/>
      <c r="AN18" s="195"/>
    </row>
    <row r="19" spans="1:40" s="186" customFormat="1" x14ac:dyDescent="0.2">
      <c r="A19" s="184"/>
      <c r="B19" s="182"/>
      <c r="C19" s="182">
        <v>1</v>
      </c>
      <c r="D19" s="182">
        <v>2</v>
      </c>
      <c r="E19" s="182">
        <v>3</v>
      </c>
      <c r="F19" s="182">
        <v>4</v>
      </c>
      <c r="G19" s="182">
        <v>5</v>
      </c>
      <c r="H19" s="182">
        <v>6</v>
      </c>
      <c r="I19" s="182">
        <v>7</v>
      </c>
      <c r="J19" s="182">
        <v>8</v>
      </c>
      <c r="K19" s="182">
        <v>8</v>
      </c>
      <c r="L19" s="182">
        <v>10</v>
      </c>
      <c r="M19" s="182">
        <v>11</v>
      </c>
      <c r="N19" s="182">
        <v>12</v>
      </c>
      <c r="O19" s="182">
        <v>13</v>
      </c>
      <c r="P19" s="182">
        <v>14</v>
      </c>
      <c r="Q19" s="182">
        <v>15</v>
      </c>
      <c r="R19" s="182">
        <v>16</v>
      </c>
      <c r="S19" s="182">
        <v>17</v>
      </c>
      <c r="T19" s="182">
        <v>18</v>
      </c>
      <c r="U19" s="182">
        <v>19</v>
      </c>
      <c r="V19" s="182">
        <v>20</v>
      </c>
      <c r="W19" s="182">
        <v>21</v>
      </c>
      <c r="X19" s="182">
        <v>22</v>
      </c>
      <c r="Y19" s="182">
        <v>23</v>
      </c>
      <c r="Z19" s="182">
        <v>24</v>
      </c>
      <c r="AA19" s="182">
        <v>25</v>
      </c>
      <c r="AB19" s="182">
        <v>26</v>
      </c>
      <c r="AC19" s="182">
        <v>27</v>
      </c>
      <c r="AD19" s="182">
        <v>27</v>
      </c>
      <c r="AE19" s="182">
        <v>29</v>
      </c>
      <c r="AF19" s="182">
        <v>30</v>
      </c>
      <c r="AG19" s="182">
        <v>31</v>
      </c>
      <c r="AH19" s="182">
        <v>32</v>
      </c>
      <c r="AI19" s="182">
        <v>32</v>
      </c>
      <c r="AJ19" s="185">
        <v>34</v>
      </c>
      <c r="AK19" s="185">
        <v>35</v>
      </c>
      <c r="AL19" s="185">
        <v>36</v>
      </c>
      <c r="AM19" s="185">
        <v>37</v>
      </c>
      <c r="AN19" s="182"/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370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O21" s="172">
        <v>1</v>
      </c>
      <c r="P21" s="172">
        <v>2</v>
      </c>
      <c r="Q21" s="172">
        <v>3</v>
      </c>
      <c r="R21" s="172">
        <v>4</v>
      </c>
      <c r="S21" s="172">
        <v>5</v>
      </c>
      <c r="T21" s="172">
        <v>6</v>
      </c>
      <c r="U21" s="172">
        <v>7</v>
      </c>
      <c r="V21" s="172">
        <v>8</v>
      </c>
      <c r="W21" s="172">
        <v>9</v>
      </c>
      <c r="X21" s="172">
        <v>10</v>
      </c>
    </row>
    <row r="22" spans="1:40" ht="43.2" x14ac:dyDescent="0.2">
      <c r="A22" s="12" t="str">
        <f>A2</f>
        <v>【性別】</v>
      </c>
      <c r="B22" s="59" t="str">
        <f>B2</f>
        <v>調査数</v>
      </c>
      <c r="C22" s="60" t="str">
        <f t="shared" ref="C22:L22" si="4">C12</f>
        <v>若者の県内定着</v>
      </c>
      <c r="D22" s="61" t="str">
        <f t="shared" si="4"/>
        <v>公共交通の充実</v>
      </c>
      <c r="E22" s="61" t="str">
        <f t="shared" si="4"/>
        <v>少子化対策</v>
      </c>
      <c r="F22" s="61" t="str">
        <f t="shared" si="4"/>
        <v>子育て支援</v>
      </c>
      <c r="G22" s="61" t="str">
        <f t="shared" si="4"/>
        <v>高齢者福祉</v>
      </c>
      <c r="H22" s="61" t="str">
        <f t="shared" si="4"/>
        <v>地域医療の確保</v>
      </c>
      <c r="I22" s="61" t="str">
        <f t="shared" si="4"/>
        <v>防災対策</v>
      </c>
      <c r="J22" s="61" t="str">
        <f t="shared" si="4"/>
        <v>労働環境改善</v>
      </c>
      <c r="K22" s="61" t="str">
        <f t="shared" si="4"/>
        <v>県外からの移住・定住の推進</v>
      </c>
      <c r="L22" s="63" t="str">
        <f t="shared" si="4"/>
        <v>女性の活躍推進</v>
      </c>
      <c r="M22" s="44" t="s">
        <v>32</v>
      </c>
      <c r="N22" s="12" t="str">
        <f>A22</f>
        <v>【性別】</v>
      </c>
      <c r="O22" s="60" t="str">
        <f t="shared" ref="O22:X22" si="5">C22</f>
        <v>若者の県内定着</v>
      </c>
      <c r="P22" s="61" t="str">
        <f t="shared" si="5"/>
        <v>公共交通の充実</v>
      </c>
      <c r="Q22" s="61" t="str">
        <f t="shared" si="5"/>
        <v>少子化対策</v>
      </c>
      <c r="R22" s="61" t="str">
        <f t="shared" si="5"/>
        <v>子育て支援</v>
      </c>
      <c r="S22" s="61" t="str">
        <f t="shared" si="5"/>
        <v>高齢者福祉</v>
      </c>
      <c r="T22" s="61" t="str">
        <f t="shared" si="5"/>
        <v>地域医療の確保</v>
      </c>
      <c r="U22" s="61" t="str">
        <f t="shared" si="5"/>
        <v>防災対策</v>
      </c>
      <c r="V22" s="61" t="str">
        <f t="shared" si="5"/>
        <v>労働環境改善</v>
      </c>
      <c r="W22" s="62" t="str">
        <f t="shared" si="5"/>
        <v>県外からの移住・定住の推進</v>
      </c>
      <c r="X22" s="63" t="str">
        <f t="shared" si="5"/>
        <v>女性の活躍推進</v>
      </c>
    </row>
    <row r="23" spans="1:40" ht="12.75" customHeight="1" x14ac:dyDescent="0.2">
      <c r="A23" s="269" t="str">
        <f>A3</f>
        <v>全体(n = 1,616 )　　</v>
      </c>
      <c r="B23" s="113">
        <f>B3</f>
        <v>1616</v>
      </c>
      <c r="C23" s="121">
        <f t="shared" ref="C23:L23" si="6">C13</f>
        <v>340</v>
      </c>
      <c r="D23" s="122">
        <f t="shared" si="6"/>
        <v>301</v>
      </c>
      <c r="E23" s="122">
        <f t="shared" si="6"/>
        <v>291</v>
      </c>
      <c r="F23" s="122">
        <f t="shared" si="6"/>
        <v>252</v>
      </c>
      <c r="G23" s="122">
        <f t="shared" si="6"/>
        <v>223</v>
      </c>
      <c r="H23" s="122">
        <f t="shared" si="6"/>
        <v>214</v>
      </c>
      <c r="I23" s="122">
        <f t="shared" si="6"/>
        <v>191</v>
      </c>
      <c r="J23" s="122">
        <f t="shared" si="6"/>
        <v>179</v>
      </c>
      <c r="K23" s="122">
        <f t="shared" si="6"/>
        <v>179</v>
      </c>
      <c r="L23" s="124">
        <f t="shared" si="6"/>
        <v>178</v>
      </c>
      <c r="N23" s="93" t="str">
        <f>A25</f>
        <v>男性(n = 705 )　　</v>
      </c>
      <c r="O23" s="74">
        <f t="shared" ref="O23:X23" si="7">C26</f>
        <v>23.829787234042556</v>
      </c>
      <c r="P23" s="75">
        <f t="shared" si="7"/>
        <v>17.588652482269502</v>
      </c>
      <c r="Q23" s="75">
        <f t="shared" si="7"/>
        <v>20.99290780141844</v>
      </c>
      <c r="R23" s="75">
        <f t="shared" si="7"/>
        <v>17.304964539007091</v>
      </c>
      <c r="S23" s="75">
        <f t="shared" si="7"/>
        <v>15.177304964539006</v>
      </c>
      <c r="T23" s="75">
        <f t="shared" si="7"/>
        <v>11.914893617021278</v>
      </c>
      <c r="U23" s="75">
        <f t="shared" si="7"/>
        <v>13.191489361702127</v>
      </c>
      <c r="V23" s="75">
        <f t="shared" si="7"/>
        <v>10.921985815602838</v>
      </c>
      <c r="W23" s="76">
        <f t="shared" si="7"/>
        <v>15.319148936170212</v>
      </c>
      <c r="X23" s="77">
        <f t="shared" si="7"/>
        <v>8.6524822695035457</v>
      </c>
    </row>
    <row r="24" spans="1:40" ht="12.75" customHeight="1" x14ac:dyDescent="0.2">
      <c r="A24" s="270"/>
      <c r="B24" s="114">
        <f>B4</f>
        <v>100</v>
      </c>
      <c r="C24" s="125">
        <f t="shared" ref="C24:L24" si="8">C14</f>
        <v>21.03960396039604</v>
      </c>
      <c r="D24" s="126">
        <f t="shared" si="8"/>
        <v>18.626237623762375</v>
      </c>
      <c r="E24" s="126">
        <f t="shared" si="8"/>
        <v>18.007425742574256</v>
      </c>
      <c r="F24" s="126">
        <f t="shared" si="8"/>
        <v>15.594059405940595</v>
      </c>
      <c r="G24" s="126">
        <f t="shared" si="8"/>
        <v>13.79950495049505</v>
      </c>
      <c r="H24" s="126">
        <f t="shared" si="8"/>
        <v>13.242574257425744</v>
      </c>
      <c r="I24" s="126">
        <f t="shared" si="8"/>
        <v>11.819306930693068</v>
      </c>
      <c r="J24" s="126">
        <f t="shared" si="8"/>
        <v>11.076732673267326</v>
      </c>
      <c r="K24" s="126">
        <f t="shared" si="8"/>
        <v>11.076732673267326</v>
      </c>
      <c r="L24" s="128">
        <f t="shared" si="8"/>
        <v>11.014851485148515</v>
      </c>
      <c r="N24" s="94" t="str">
        <f>A27</f>
        <v>女性(n = 901 )　　</v>
      </c>
      <c r="O24" s="78">
        <f t="shared" ref="O24:X24" si="9">C28</f>
        <v>19.089900110987791</v>
      </c>
      <c r="P24" s="79">
        <f t="shared" si="9"/>
        <v>19.533851276359602</v>
      </c>
      <c r="Q24" s="79">
        <f t="shared" si="9"/>
        <v>15.760266370699222</v>
      </c>
      <c r="R24" s="79">
        <f t="shared" si="9"/>
        <v>14.428412874583795</v>
      </c>
      <c r="S24" s="79">
        <f t="shared" si="9"/>
        <v>12.652608213096558</v>
      </c>
      <c r="T24" s="79">
        <f t="shared" si="9"/>
        <v>14.206437291897892</v>
      </c>
      <c r="U24" s="79">
        <f t="shared" si="9"/>
        <v>10.876803551609324</v>
      </c>
      <c r="V24" s="79">
        <f t="shared" si="9"/>
        <v>11.320754716981133</v>
      </c>
      <c r="W24" s="80">
        <f t="shared" si="9"/>
        <v>7.7691453940066584</v>
      </c>
      <c r="X24" s="81">
        <f t="shared" si="9"/>
        <v>12.985571587125417</v>
      </c>
    </row>
    <row r="25" spans="1:40" x14ac:dyDescent="0.2">
      <c r="A25" s="269" t="str">
        <f>A5</f>
        <v>男性(n = 705 )　　</v>
      </c>
      <c r="B25" s="113">
        <f>B5</f>
        <v>705</v>
      </c>
      <c r="C25" s="129">
        <f t="shared" ref="C25:L25" si="10">C15</f>
        <v>168</v>
      </c>
      <c r="D25" s="130">
        <f t="shared" si="10"/>
        <v>124</v>
      </c>
      <c r="E25" s="130">
        <f t="shared" si="10"/>
        <v>148</v>
      </c>
      <c r="F25" s="130">
        <f t="shared" si="10"/>
        <v>122</v>
      </c>
      <c r="G25" s="130">
        <f t="shared" si="10"/>
        <v>107</v>
      </c>
      <c r="H25" s="130">
        <f t="shared" si="10"/>
        <v>84</v>
      </c>
      <c r="I25" s="130">
        <f t="shared" si="10"/>
        <v>93</v>
      </c>
      <c r="J25" s="130">
        <f t="shared" si="10"/>
        <v>77</v>
      </c>
      <c r="K25" s="130">
        <f t="shared" si="10"/>
        <v>108</v>
      </c>
      <c r="L25" s="131">
        <f t="shared" si="10"/>
        <v>61</v>
      </c>
      <c r="O25" s="25">
        <f t="shared" ref="O25:X25" si="11">O23-O24</f>
        <v>4.7398871230547641</v>
      </c>
      <c r="P25" s="25">
        <f t="shared" si="11"/>
        <v>-1.9451987940900999</v>
      </c>
      <c r="Q25" s="25">
        <f t="shared" si="11"/>
        <v>5.2326414307192177</v>
      </c>
      <c r="R25" s="25">
        <f t="shared" si="11"/>
        <v>2.876551664423296</v>
      </c>
      <c r="S25" s="25">
        <f t="shared" si="11"/>
        <v>2.5246967514424483</v>
      </c>
      <c r="T25" s="25">
        <f t="shared" si="11"/>
        <v>-2.291543674876614</v>
      </c>
      <c r="U25" s="25">
        <f t="shared" si="11"/>
        <v>2.3146858100928025</v>
      </c>
      <c r="V25" s="25">
        <f t="shared" si="11"/>
        <v>-0.39876890137829513</v>
      </c>
      <c r="W25" s="25">
        <f t="shared" si="11"/>
        <v>7.5500035421635534</v>
      </c>
      <c r="X25" s="25">
        <f t="shared" si="11"/>
        <v>-4.3330893176218712</v>
      </c>
    </row>
    <row r="26" spans="1:40" x14ac:dyDescent="0.2">
      <c r="A26" s="270"/>
      <c r="B26" s="114">
        <f>B6</f>
        <v>43.626237623762378</v>
      </c>
      <c r="C26" s="125">
        <f t="shared" ref="C26:L26" si="12">C16</f>
        <v>23.829787234042556</v>
      </c>
      <c r="D26" s="126">
        <f t="shared" si="12"/>
        <v>17.588652482269502</v>
      </c>
      <c r="E26" s="126">
        <f t="shared" si="12"/>
        <v>20.99290780141844</v>
      </c>
      <c r="F26" s="126">
        <f t="shared" si="12"/>
        <v>17.304964539007091</v>
      </c>
      <c r="G26" s="126">
        <f t="shared" si="12"/>
        <v>15.177304964539006</v>
      </c>
      <c r="H26" s="126">
        <f t="shared" si="12"/>
        <v>11.914893617021278</v>
      </c>
      <c r="I26" s="126">
        <f t="shared" si="12"/>
        <v>13.191489361702127</v>
      </c>
      <c r="J26" s="126">
        <f t="shared" si="12"/>
        <v>10.921985815602838</v>
      </c>
      <c r="K26" s="126">
        <f t="shared" si="12"/>
        <v>15.319148936170212</v>
      </c>
      <c r="L26" s="128">
        <f t="shared" si="12"/>
        <v>8.6524822695035457</v>
      </c>
    </row>
    <row r="27" spans="1:40" x14ac:dyDescent="0.2">
      <c r="A27" s="269" t="str">
        <f>A7</f>
        <v>女性(n = 901 )　　</v>
      </c>
      <c r="B27" s="113">
        <f>B7</f>
        <v>901</v>
      </c>
      <c r="C27" s="129">
        <f t="shared" ref="C27:L27" si="13">C17</f>
        <v>172</v>
      </c>
      <c r="D27" s="130">
        <f t="shared" si="13"/>
        <v>176</v>
      </c>
      <c r="E27" s="130">
        <f t="shared" si="13"/>
        <v>142</v>
      </c>
      <c r="F27" s="130">
        <f t="shared" si="13"/>
        <v>130</v>
      </c>
      <c r="G27" s="130">
        <f t="shared" si="13"/>
        <v>114</v>
      </c>
      <c r="H27" s="130">
        <f t="shared" si="13"/>
        <v>128</v>
      </c>
      <c r="I27" s="130">
        <f t="shared" si="13"/>
        <v>98</v>
      </c>
      <c r="J27" s="130">
        <f t="shared" si="13"/>
        <v>102</v>
      </c>
      <c r="K27" s="130">
        <f t="shared" si="13"/>
        <v>70</v>
      </c>
      <c r="L27" s="131">
        <f t="shared" si="13"/>
        <v>117</v>
      </c>
    </row>
    <row r="28" spans="1:40" x14ac:dyDescent="0.2">
      <c r="A28" s="270"/>
      <c r="B28" s="114">
        <f>B8</f>
        <v>55.754950495049506</v>
      </c>
      <c r="C28" s="125">
        <f t="shared" ref="C28:L28" si="14">C18</f>
        <v>19.089900110987791</v>
      </c>
      <c r="D28" s="126">
        <f t="shared" si="14"/>
        <v>19.533851276359602</v>
      </c>
      <c r="E28" s="126">
        <f t="shared" si="14"/>
        <v>15.760266370699222</v>
      </c>
      <c r="F28" s="126">
        <f t="shared" si="14"/>
        <v>14.428412874583795</v>
      </c>
      <c r="G28" s="126">
        <f t="shared" si="14"/>
        <v>12.652608213096558</v>
      </c>
      <c r="H28" s="126">
        <f t="shared" si="14"/>
        <v>14.206437291897892</v>
      </c>
      <c r="I28" s="126">
        <f t="shared" si="14"/>
        <v>10.876803551609324</v>
      </c>
      <c r="J28" s="126">
        <f t="shared" si="14"/>
        <v>11.320754716981133</v>
      </c>
      <c r="K28" s="126">
        <f t="shared" si="14"/>
        <v>7.7691453940066584</v>
      </c>
      <c r="L28" s="128">
        <f t="shared" si="14"/>
        <v>12.985571587125417</v>
      </c>
    </row>
    <row r="30" spans="1:40" x14ac:dyDescent="0.2">
      <c r="A30" s="3" t="s">
        <v>416</v>
      </c>
      <c r="B30" s="1" t="str">
        <f>B1</f>
        <v>県の取り組みで努力が足りないと思う分野</v>
      </c>
      <c r="C30" s="8">
        <v>1</v>
      </c>
      <c r="D30" s="9">
        <v>2</v>
      </c>
      <c r="E30" s="8">
        <v>3</v>
      </c>
      <c r="F30" s="9">
        <v>4</v>
      </c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</row>
    <row r="31" spans="1:40" ht="33.75" customHeight="1" x14ac:dyDescent="0.2">
      <c r="A31" s="12" t="s">
        <v>59</v>
      </c>
      <c r="B31" s="59" t="str">
        <f>B2</f>
        <v>調査数</v>
      </c>
      <c r="C31" s="60" t="str">
        <f t="shared" ref="C31:AM31" si="15">C2</f>
        <v>防災対策</v>
      </c>
      <c r="D31" s="61" t="str">
        <f t="shared" si="15"/>
        <v>自然環境保全</v>
      </c>
      <c r="E31" s="61" t="str">
        <f t="shared" si="15"/>
        <v>住環境保全</v>
      </c>
      <c r="F31" s="61" t="str">
        <f t="shared" si="15"/>
        <v>廃棄物対策</v>
      </c>
      <c r="G31" s="61" t="str">
        <f t="shared" si="15"/>
        <v>消費者保護</v>
      </c>
      <c r="H31" s="61" t="str">
        <f t="shared" si="15"/>
        <v>防犯・交通安全対策</v>
      </c>
      <c r="I31" s="61" t="str">
        <f t="shared" si="15"/>
        <v>地域コミュニティの活性化</v>
      </c>
      <c r="J31" s="61" t="str">
        <f t="shared" si="15"/>
        <v>地域医療の確保</v>
      </c>
      <c r="K31" s="61" t="str">
        <f t="shared" si="15"/>
        <v>健康増進</v>
      </c>
      <c r="L31" s="61" t="str">
        <f t="shared" si="15"/>
        <v>食品の安全対策</v>
      </c>
      <c r="M31" s="61" t="str">
        <f t="shared" si="15"/>
        <v>薬物対策</v>
      </c>
      <c r="N31" s="61" t="str">
        <f t="shared" si="15"/>
        <v>高齢者福祉</v>
      </c>
      <c r="O31" s="61" t="str">
        <f t="shared" si="15"/>
        <v>障がい者福祉</v>
      </c>
      <c r="P31" s="61" t="str">
        <f t="shared" si="15"/>
        <v>少子化対策</v>
      </c>
      <c r="Q31" s="61" t="str">
        <f t="shared" si="15"/>
        <v>子育て支援</v>
      </c>
      <c r="R31" s="61" t="str">
        <f t="shared" si="15"/>
        <v>中小企業支援</v>
      </c>
      <c r="S31" s="61" t="str">
        <f t="shared" si="15"/>
        <v>企業誘致</v>
      </c>
      <c r="T31" s="61" t="str">
        <f t="shared" si="15"/>
        <v>成長産業分野の振興</v>
      </c>
      <c r="U31" s="61" t="str">
        <f t="shared" si="15"/>
        <v>観光振興</v>
      </c>
      <c r="V31" s="105" t="str">
        <f t="shared" si="15"/>
        <v>就労支援</v>
      </c>
      <c r="W31" s="61" t="str">
        <f t="shared" si="15"/>
        <v>労働環境改善</v>
      </c>
      <c r="X31" s="61" t="str">
        <f t="shared" si="15"/>
        <v>様々な産業を担う人材の育成</v>
      </c>
      <c r="Y31" s="61" t="str">
        <f t="shared" si="15"/>
        <v>女性の活躍推進</v>
      </c>
      <c r="Z31" s="61" t="str">
        <f t="shared" si="15"/>
        <v>農業等振興</v>
      </c>
      <c r="AA31" s="61" t="str">
        <f t="shared" si="15"/>
        <v>林業振興</v>
      </c>
      <c r="AB31" s="61" t="str">
        <f t="shared" si="15"/>
        <v>道路整備・維持管理</v>
      </c>
      <c r="AC31" s="61" t="str">
        <f t="shared" si="15"/>
        <v>河川整備・維持管理</v>
      </c>
      <c r="AD31" s="61" t="str">
        <f t="shared" si="15"/>
        <v>砂防対策</v>
      </c>
      <c r="AE31" s="61" t="str">
        <f t="shared" si="15"/>
        <v>公共交通の充実</v>
      </c>
      <c r="AF31" s="61" t="str">
        <f t="shared" si="15"/>
        <v>公園整備</v>
      </c>
      <c r="AG31" s="61" t="str">
        <f t="shared" si="15"/>
        <v>学校教育の充実</v>
      </c>
      <c r="AH31" s="61" t="str">
        <f t="shared" si="15"/>
        <v>社会教育・生涯学習の充実</v>
      </c>
      <c r="AI31" s="61" t="str">
        <f t="shared" si="15"/>
        <v>文化・芸術の振興</v>
      </c>
      <c r="AJ31" s="61" t="str">
        <f t="shared" si="15"/>
        <v>スポーツやレクリエーションの推進</v>
      </c>
      <c r="AK31" s="61" t="str">
        <f t="shared" si="15"/>
        <v>若者の県内定着</v>
      </c>
      <c r="AL31" s="61" t="str">
        <f t="shared" si="15"/>
        <v>県外からの移住・定住の推進</v>
      </c>
      <c r="AM31" s="63" t="str">
        <f t="shared" si="15"/>
        <v>無回答</v>
      </c>
      <c r="AN31" s="5" t="s">
        <v>118</v>
      </c>
    </row>
    <row r="32" spans="1:40" x14ac:dyDescent="0.2">
      <c r="A32" s="269" t="str">
        <f>'問10-1M（表）'!A32</f>
        <v>全体(n = 1,616 )　　</v>
      </c>
      <c r="B32" s="227" t="str">
        <f>'問9S（表）'!B34</f>
        <v>1,616</v>
      </c>
      <c r="C32" s="31">
        <f>$C$3</f>
        <v>191</v>
      </c>
      <c r="D32" s="32">
        <f>$D$3</f>
        <v>83</v>
      </c>
      <c r="E32" s="32">
        <f>$E$3</f>
        <v>105</v>
      </c>
      <c r="F32" s="32">
        <f>$F$3</f>
        <v>140</v>
      </c>
      <c r="G32" s="32">
        <f>$G$3</f>
        <v>159</v>
      </c>
      <c r="H32" s="32">
        <f>$H$3</f>
        <v>113</v>
      </c>
      <c r="I32" s="32">
        <f>$I$3</f>
        <v>108</v>
      </c>
      <c r="J32" s="32">
        <f>$J$3</f>
        <v>214</v>
      </c>
      <c r="K32" s="32">
        <f>$K$3</f>
        <v>55</v>
      </c>
      <c r="L32" s="32">
        <f>$L$3</f>
        <v>40</v>
      </c>
      <c r="M32" s="32">
        <f>$M$3</f>
        <v>42</v>
      </c>
      <c r="N32" s="32">
        <f>$N$3</f>
        <v>223</v>
      </c>
      <c r="O32" s="32">
        <f>$O$3</f>
        <v>110</v>
      </c>
      <c r="P32" s="32">
        <f>$P$3</f>
        <v>291</v>
      </c>
      <c r="Q32" s="32">
        <f>$Q$3</f>
        <v>252</v>
      </c>
      <c r="R32" s="32">
        <f>$R$3</f>
        <v>139</v>
      </c>
      <c r="S32" s="32">
        <f>$S$3</f>
        <v>154</v>
      </c>
      <c r="T32" s="32">
        <f>$T$3</f>
        <v>72</v>
      </c>
      <c r="U32" s="32">
        <f>$U$3</f>
        <v>176</v>
      </c>
      <c r="V32" s="32">
        <f>$V$3</f>
        <v>152</v>
      </c>
      <c r="W32" s="32">
        <f>$W$3</f>
        <v>179</v>
      </c>
      <c r="X32" s="32">
        <f>$X$3</f>
        <v>115</v>
      </c>
      <c r="Y32" s="32">
        <f>$Y$3</f>
        <v>178</v>
      </c>
      <c r="Z32" s="32">
        <f>$Z$3</f>
        <v>72</v>
      </c>
      <c r="AA32" s="32">
        <f>$AA$3</f>
        <v>53</v>
      </c>
      <c r="AB32" s="32">
        <f>$AB$3</f>
        <v>174</v>
      </c>
      <c r="AC32" s="32">
        <f>$AC$3</f>
        <v>109</v>
      </c>
      <c r="AD32" s="32">
        <f>$AD$3</f>
        <v>66</v>
      </c>
      <c r="AE32" s="32">
        <f>$AE$3</f>
        <v>301</v>
      </c>
      <c r="AF32" s="32">
        <f>$AF$3</f>
        <v>135</v>
      </c>
      <c r="AG32" s="32">
        <f>$AG$3</f>
        <v>141</v>
      </c>
      <c r="AH32" s="32">
        <f>$AH$3</f>
        <v>46</v>
      </c>
      <c r="AI32" s="32">
        <f>$AI$3</f>
        <v>57</v>
      </c>
      <c r="AJ32" s="32">
        <f>$AJ$3</f>
        <v>53</v>
      </c>
      <c r="AK32" s="32">
        <f>$AK$3</f>
        <v>340</v>
      </c>
      <c r="AL32" s="32">
        <f>$AL$3</f>
        <v>179</v>
      </c>
      <c r="AM32" s="33"/>
      <c r="AN32" s="5">
        <f>SUM(C32:AM32)</f>
        <v>5017</v>
      </c>
    </row>
    <row r="33" spans="1:43" x14ac:dyDescent="0.2">
      <c r="A33" s="270"/>
      <c r="B33" s="35">
        <f>'問9S（表）'!B35</f>
        <v>100</v>
      </c>
      <c r="C33" s="20">
        <f t="shared" ref="C33:AL33" si="16">C32/$B$32*100</f>
        <v>11.819306930693068</v>
      </c>
      <c r="D33" s="207">
        <f t="shared" si="16"/>
        <v>5.1361386138613856</v>
      </c>
      <c r="E33" s="207">
        <f t="shared" si="16"/>
        <v>6.4975247524752477</v>
      </c>
      <c r="F33" s="207">
        <f t="shared" si="16"/>
        <v>8.6633663366336631</v>
      </c>
      <c r="G33" s="207">
        <f t="shared" si="16"/>
        <v>9.8391089108910901</v>
      </c>
      <c r="H33" s="207">
        <f t="shared" si="16"/>
        <v>6.9925742574257432</v>
      </c>
      <c r="I33" s="207">
        <f t="shared" si="16"/>
        <v>6.6831683168316838</v>
      </c>
      <c r="J33" s="207">
        <f t="shared" si="16"/>
        <v>13.242574257425744</v>
      </c>
      <c r="K33" s="207">
        <f t="shared" si="16"/>
        <v>3.4034653465346536</v>
      </c>
      <c r="L33" s="207">
        <f t="shared" si="16"/>
        <v>2.4752475247524752</v>
      </c>
      <c r="M33" s="207">
        <f t="shared" si="16"/>
        <v>2.5990099009900991</v>
      </c>
      <c r="N33" s="207">
        <f t="shared" si="16"/>
        <v>13.79950495049505</v>
      </c>
      <c r="O33" s="207">
        <f t="shared" si="16"/>
        <v>6.8069306930693072</v>
      </c>
      <c r="P33" s="207">
        <f t="shared" si="16"/>
        <v>18.007425742574256</v>
      </c>
      <c r="Q33" s="207">
        <f t="shared" si="16"/>
        <v>15.594059405940595</v>
      </c>
      <c r="R33" s="207">
        <f t="shared" si="16"/>
        <v>8.6014851485148505</v>
      </c>
      <c r="S33" s="207">
        <f t="shared" si="16"/>
        <v>9.5297029702970306</v>
      </c>
      <c r="T33" s="207">
        <f t="shared" si="16"/>
        <v>4.455445544554455</v>
      </c>
      <c r="U33" s="207">
        <f t="shared" si="16"/>
        <v>10.891089108910892</v>
      </c>
      <c r="V33" s="207">
        <f t="shared" si="16"/>
        <v>9.4059405940594054</v>
      </c>
      <c r="W33" s="207">
        <f t="shared" si="16"/>
        <v>11.076732673267326</v>
      </c>
      <c r="X33" s="207">
        <f t="shared" si="16"/>
        <v>7.1163366336633658</v>
      </c>
      <c r="Y33" s="207">
        <f t="shared" si="16"/>
        <v>11.014851485148515</v>
      </c>
      <c r="Z33" s="207">
        <f t="shared" si="16"/>
        <v>4.455445544554455</v>
      </c>
      <c r="AA33" s="207">
        <f t="shared" si="16"/>
        <v>3.2797029702970297</v>
      </c>
      <c r="AB33" s="207">
        <f t="shared" si="16"/>
        <v>10.767326732673267</v>
      </c>
      <c r="AC33" s="207">
        <f t="shared" si="16"/>
        <v>6.7450495049504955</v>
      </c>
      <c r="AD33" s="207">
        <f t="shared" si="16"/>
        <v>4.0841584158415847</v>
      </c>
      <c r="AE33" s="207">
        <f t="shared" si="16"/>
        <v>18.626237623762375</v>
      </c>
      <c r="AF33" s="207">
        <f t="shared" si="16"/>
        <v>8.3539603960396036</v>
      </c>
      <c r="AG33" s="207">
        <f t="shared" si="16"/>
        <v>8.7252475247524739</v>
      </c>
      <c r="AH33" s="207">
        <f t="shared" si="16"/>
        <v>2.8465346534653468</v>
      </c>
      <c r="AI33" s="207">
        <f t="shared" si="16"/>
        <v>3.527227722772277</v>
      </c>
      <c r="AJ33" s="207">
        <f t="shared" si="16"/>
        <v>3.2797029702970297</v>
      </c>
      <c r="AK33" s="207">
        <f t="shared" si="16"/>
        <v>21.03960396039604</v>
      </c>
      <c r="AL33" s="207">
        <f t="shared" si="16"/>
        <v>11.076732673267326</v>
      </c>
      <c r="AM33" s="208"/>
      <c r="AN33" s="195"/>
    </row>
    <row r="34" spans="1:43" x14ac:dyDescent="0.2">
      <c r="A34" s="269" t="str">
        <f>'問10-1M（表）'!A34</f>
        <v>18～19歳(n = 21 )　　</v>
      </c>
      <c r="B34" s="34">
        <f>'問9S（表）'!B36</f>
        <v>21</v>
      </c>
      <c r="C34" s="31">
        <v>2</v>
      </c>
      <c r="D34" s="32">
        <v>0</v>
      </c>
      <c r="E34" s="32">
        <v>2</v>
      </c>
      <c r="F34" s="32">
        <v>2</v>
      </c>
      <c r="G34" s="32">
        <v>1</v>
      </c>
      <c r="H34" s="32">
        <v>0</v>
      </c>
      <c r="I34" s="32">
        <v>1</v>
      </c>
      <c r="J34" s="32">
        <v>2</v>
      </c>
      <c r="K34" s="32">
        <v>0</v>
      </c>
      <c r="L34" s="32">
        <v>0</v>
      </c>
      <c r="M34" s="32">
        <v>1</v>
      </c>
      <c r="N34" s="32">
        <v>1</v>
      </c>
      <c r="O34" s="32">
        <v>0</v>
      </c>
      <c r="P34" s="32">
        <v>3</v>
      </c>
      <c r="Q34" s="32">
        <v>1</v>
      </c>
      <c r="R34" s="32">
        <v>0</v>
      </c>
      <c r="S34" s="32">
        <v>0</v>
      </c>
      <c r="T34" s="32">
        <v>1</v>
      </c>
      <c r="U34" s="32">
        <v>3</v>
      </c>
      <c r="V34" s="32">
        <v>3</v>
      </c>
      <c r="W34" s="32">
        <v>4</v>
      </c>
      <c r="X34" s="32">
        <v>1</v>
      </c>
      <c r="Y34" s="32">
        <v>4</v>
      </c>
      <c r="Z34" s="32">
        <v>1</v>
      </c>
      <c r="AA34" s="32">
        <v>1</v>
      </c>
      <c r="AB34" s="32">
        <v>0</v>
      </c>
      <c r="AC34" s="32">
        <v>0</v>
      </c>
      <c r="AD34" s="32">
        <v>1</v>
      </c>
      <c r="AE34" s="32">
        <v>0</v>
      </c>
      <c r="AF34" s="32">
        <v>1</v>
      </c>
      <c r="AG34" s="32">
        <v>1</v>
      </c>
      <c r="AH34" s="32">
        <v>1</v>
      </c>
      <c r="AI34" s="32">
        <v>1</v>
      </c>
      <c r="AJ34" s="32">
        <v>2</v>
      </c>
      <c r="AK34" s="32">
        <v>4</v>
      </c>
      <c r="AL34" s="32">
        <v>3</v>
      </c>
      <c r="AM34" s="33"/>
      <c r="AN34" s="5">
        <f>SUM(C34:AM34)</f>
        <v>48</v>
      </c>
      <c r="AO34" t="str">
        <f>" 18～19歳（ n = "&amp;B34&amp;"）"</f>
        <v xml:space="preserve"> 18～19歳（ n = 21）</v>
      </c>
      <c r="AQ34">
        <v>1</v>
      </c>
    </row>
    <row r="35" spans="1:43" x14ac:dyDescent="0.2">
      <c r="A35" s="270"/>
      <c r="B35" s="35">
        <f>'問9S（表）'!B37</f>
        <v>1.2995049504950495</v>
      </c>
      <c r="C35" s="20">
        <f t="shared" ref="C35:AL35" si="17">C34/$B$34*100</f>
        <v>9.5238095238095237</v>
      </c>
      <c r="D35" s="207">
        <f t="shared" si="17"/>
        <v>0</v>
      </c>
      <c r="E35" s="207">
        <f t="shared" si="17"/>
        <v>9.5238095238095237</v>
      </c>
      <c r="F35" s="207">
        <f t="shared" si="17"/>
        <v>9.5238095238095237</v>
      </c>
      <c r="G35" s="207">
        <f t="shared" si="17"/>
        <v>4.7619047619047619</v>
      </c>
      <c r="H35" s="207">
        <f t="shared" si="17"/>
        <v>0</v>
      </c>
      <c r="I35" s="207">
        <f t="shared" si="17"/>
        <v>4.7619047619047619</v>
      </c>
      <c r="J35" s="207">
        <f t="shared" si="17"/>
        <v>9.5238095238095237</v>
      </c>
      <c r="K35" s="207">
        <f t="shared" si="17"/>
        <v>0</v>
      </c>
      <c r="L35" s="207">
        <f t="shared" si="17"/>
        <v>0</v>
      </c>
      <c r="M35" s="207">
        <f t="shared" si="17"/>
        <v>4.7619047619047619</v>
      </c>
      <c r="N35" s="207">
        <f t="shared" si="17"/>
        <v>4.7619047619047619</v>
      </c>
      <c r="O35" s="207">
        <f t="shared" si="17"/>
        <v>0</v>
      </c>
      <c r="P35" s="207">
        <f t="shared" si="17"/>
        <v>14.285714285714285</v>
      </c>
      <c r="Q35" s="207">
        <f t="shared" si="17"/>
        <v>4.7619047619047619</v>
      </c>
      <c r="R35" s="207">
        <f t="shared" si="17"/>
        <v>0</v>
      </c>
      <c r="S35" s="207">
        <f t="shared" si="17"/>
        <v>0</v>
      </c>
      <c r="T35" s="207">
        <f t="shared" si="17"/>
        <v>4.7619047619047619</v>
      </c>
      <c r="U35" s="207">
        <f t="shared" si="17"/>
        <v>14.285714285714285</v>
      </c>
      <c r="V35" s="207">
        <f t="shared" si="17"/>
        <v>14.285714285714285</v>
      </c>
      <c r="W35" s="207">
        <f t="shared" si="17"/>
        <v>19.047619047619047</v>
      </c>
      <c r="X35" s="207">
        <f t="shared" si="17"/>
        <v>4.7619047619047619</v>
      </c>
      <c r="Y35" s="207">
        <f t="shared" si="17"/>
        <v>19.047619047619047</v>
      </c>
      <c r="Z35" s="207">
        <f t="shared" si="17"/>
        <v>4.7619047619047619</v>
      </c>
      <c r="AA35" s="207">
        <f t="shared" si="17"/>
        <v>4.7619047619047619</v>
      </c>
      <c r="AB35" s="207">
        <f t="shared" si="17"/>
        <v>0</v>
      </c>
      <c r="AC35" s="207">
        <f t="shared" si="17"/>
        <v>0</v>
      </c>
      <c r="AD35" s="207">
        <f t="shared" si="17"/>
        <v>4.7619047619047619</v>
      </c>
      <c r="AE35" s="207">
        <f t="shared" si="17"/>
        <v>0</v>
      </c>
      <c r="AF35" s="207">
        <f t="shared" si="17"/>
        <v>4.7619047619047619</v>
      </c>
      <c r="AG35" s="207">
        <f t="shared" si="17"/>
        <v>4.7619047619047619</v>
      </c>
      <c r="AH35" s="207">
        <f t="shared" si="17"/>
        <v>4.7619047619047619</v>
      </c>
      <c r="AI35" s="207">
        <f t="shared" si="17"/>
        <v>4.7619047619047619</v>
      </c>
      <c r="AJ35" s="207">
        <f t="shared" si="17"/>
        <v>9.5238095238095237</v>
      </c>
      <c r="AK35" s="207">
        <f t="shared" si="17"/>
        <v>19.047619047619047</v>
      </c>
      <c r="AL35" s="207">
        <f t="shared" si="17"/>
        <v>14.285714285714285</v>
      </c>
      <c r="AM35" s="208"/>
      <c r="AN35" s="195"/>
    </row>
    <row r="36" spans="1:43" x14ac:dyDescent="0.2">
      <c r="A36" s="269" t="str">
        <f>'問10-1M（表）'!A36</f>
        <v>20～29歳(n = 119 )　　</v>
      </c>
      <c r="B36" s="34">
        <f>'問9S（表）'!B38</f>
        <v>119</v>
      </c>
      <c r="C36" s="31">
        <v>14</v>
      </c>
      <c r="D36" s="32">
        <v>6</v>
      </c>
      <c r="E36" s="32">
        <v>7</v>
      </c>
      <c r="F36" s="32">
        <v>6</v>
      </c>
      <c r="G36" s="32">
        <v>11</v>
      </c>
      <c r="H36" s="32">
        <v>9</v>
      </c>
      <c r="I36" s="32">
        <v>10</v>
      </c>
      <c r="J36" s="32">
        <v>10</v>
      </c>
      <c r="K36" s="32">
        <v>3</v>
      </c>
      <c r="L36" s="32">
        <v>1</v>
      </c>
      <c r="M36" s="32">
        <v>5</v>
      </c>
      <c r="N36" s="32">
        <v>9</v>
      </c>
      <c r="O36" s="32">
        <v>10</v>
      </c>
      <c r="P36" s="32">
        <v>32</v>
      </c>
      <c r="Q36" s="32">
        <v>30</v>
      </c>
      <c r="R36" s="32">
        <v>8</v>
      </c>
      <c r="S36" s="32">
        <v>7</v>
      </c>
      <c r="T36" s="32">
        <v>4</v>
      </c>
      <c r="U36" s="32">
        <v>14</v>
      </c>
      <c r="V36" s="32">
        <v>14</v>
      </c>
      <c r="W36" s="32">
        <v>18</v>
      </c>
      <c r="X36" s="32">
        <v>9</v>
      </c>
      <c r="Y36" s="32">
        <v>9</v>
      </c>
      <c r="Z36" s="32">
        <v>4</v>
      </c>
      <c r="AA36" s="32">
        <v>2</v>
      </c>
      <c r="AB36" s="32">
        <v>8</v>
      </c>
      <c r="AC36" s="32">
        <v>4</v>
      </c>
      <c r="AD36" s="32">
        <v>2</v>
      </c>
      <c r="AE36" s="32">
        <v>19</v>
      </c>
      <c r="AF36" s="32">
        <v>7</v>
      </c>
      <c r="AG36" s="32">
        <v>12</v>
      </c>
      <c r="AH36" s="32">
        <v>5</v>
      </c>
      <c r="AI36" s="32">
        <v>6</v>
      </c>
      <c r="AJ36" s="32">
        <v>3</v>
      </c>
      <c r="AK36" s="32">
        <v>34</v>
      </c>
      <c r="AL36" s="32">
        <v>19</v>
      </c>
      <c r="AM36" s="33"/>
      <c r="AN36" s="5">
        <f>SUM(C36:AM36)</f>
        <v>371</v>
      </c>
      <c r="AO36" t="str">
        <f>" 20～29歳（ n = "&amp;B36&amp;"）"</f>
        <v xml:space="preserve"> 20～29歳（ n = 119）</v>
      </c>
      <c r="AQ36">
        <v>2</v>
      </c>
    </row>
    <row r="37" spans="1:43" x14ac:dyDescent="0.2">
      <c r="A37" s="270"/>
      <c r="B37" s="35">
        <f>'問9S（表）'!B39</f>
        <v>7.3638613861386135</v>
      </c>
      <c r="C37" s="20">
        <f t="shared" ref="C37:AL37" si="18">C36/$B$36*100</f>
        <v>11.76470588235294</v>
      </c>
      <c r="D37" s="207">
        <f t="shared" si="18"/>
        <v>5.0420168067226889</v>
      </c>
      <c r="E37" s="207">
        <f t="shared" si="18"/>
        <v>5.8823529411764701</v>
      </c>
      <c r="F37" s="207">
        <f t="shared" si="18"/>
        <v>5.0420168067226889</v>
      </c>
      <c r="G37" s="207">
        <f t="shared" si="18"/>
        <v>9.2436974789915975</v>
      </c>
      <c r="H37" s="207">
        <f t="shared" si="18"/>
        <v>7.5630252100840334</v>
      </c>
      <c r="I37" s="207">
        <f t="shared" si="18"/>
        <v>8.4033613445378155</v>
      </c>
      <c r="J37" s="207">
        <f t="shared" si="18"/>
        <v>8.4033613445378155</v>
      </c>
      <c r="K37" s="207">
        <f t="shared" si="18"/>
        <v>2.5210084033613445</v>
      </c>
      <c r="L37" s="207">
        <f t="shared" si="18"/>
        <v>0.84033613445378152</v>
      </c>
      <c r="M37" s="207">
        <f t="shared" si="18"/>
        <v>4.2016806722689077</v>
      </c>
      <c r="N37" s="207">
        <f t="shared" si="18"/>
        <v>7.5630252100840334</v>
      </c>
      <c r="O37" s="207">
        <f t="shared" si="18"/>
        <v>8.4033613445378155</v>
      </c>
      <c r="P37" s="207">
        <f t="shared" si="18"/>
        <v>26.890756302521009</v>
      </c>
      <c r="Q37" s="207">
        <f t="shared" si="18"/>
        <v>25.210084033613445</v>
      </c>
      <c r="R37" s="207">
        <f t="shared" si="18"/>
        <v>6.7226890756302522</v>
      </c>
      <c r="S37" s="207">
        <f t="shared" si="18"/>
        <v>5.8823529411764701</v>
      </c>
      <c r="T37" s="207">
        <f t="shared" si="18"/>
        <v>3.3613445378151261</v>
      </c>
      <c r="U37" s="207">
        <f t="shared" si="18"/>
        <v>11.76470588235294</v>
      </c>
      <c r="V37" s="207">
        <f t="shared" si="18"/>
        <v>11.76470588235294</v>
      </c>
      <c r="W37" s="207">
        <f t="shared" si="18"/>
        <v>15.126050420168067</v>
      </c>
      <c r="X37" s="207">
        <f t="shared" si="18"/>
        <v>7.5630252100840334</v>
      </c>
      <c r="Y37" s="207">
        <f t="shared" si="18"/>
        <v>7.5630252100840334</v>
      </c>
      <c r="Z37" s="207">
        <f t="shared" si="18"/>
        <v>3.3613445378151261</v>
      </c>
      <c r="AA37" s="207">
        <f t="shared" si="18"/>
        <v>1.680672268907563</v>
      </c>
      <c r="AB37" s="207">
        <f t="shared" si="18"/>
        <v>6.7226890756302522</v>
      </c>
      <c r="AC37" s="207">
        <f t="shared" si="18"/>
        <v>3.3613445378151261</v>
      </c>
      <c r="AD37" s="207">
        <f t="shared" si="18"/>
        <v>1.680672268907563</v>
      </c>
      <c r="AE37" s="207">
        <f t="shared" si="18"/>
        <v>15.966386554621847</v>
      </c>
      <c r="AF37" s="207">
        <f t="shared" si="18"/>
        <v>5.8823529411764701</v>
      </c>
      <c r="AG37" s="207">
        <f t="shared" si="18"/>
        <v>10.084033613445378</v>
      </c>
      <c r="AH37" s="207">
        <f t="shared" si="18"/>
        <v>4.2016806722689077</v>
      </c>
      <c r="AI37" s="207">
        <f t="shared" si="18"/>
        <v>5.0420168067226889</v>
      </c>
      <c r="AJ37" s="207">
        <f t="shared" si="18"/>
        <v>2.5210084033613445</v>
      </c>
      <c r="AK37" s="207">
        <f t="shared" si="18"/>
        <v>28.571428571428569</v>
      </c>
      <c r="AL37" s="207">
        <f t="shared" si="18"/>
        <v>15.966386554621847</v>
      </c>
      <c r="AM37" s="208"/>
      <c r="AN37" s="195"/>
    </row>
    <row r="38" spans="1:43" x14ac:dyDescent="0.2">
      <c r="A38" s="269" t="str">
        <f>'問10-1M（表）'!A38</f>
        <v>30～39歳(n = 196 )　　</v>
      </c>
      <c r="B38" s="34">
        <f>'問9S（表）'!B40</f>
        <v>196</v>
      </c>
      <c r="C38" s="31">
        <v>20</v>
      </c>
      <c r="D38" s="32">
        <v>5</v>
      </c>
      <c r="E38" s="32">
        <v>12</v>
      </c>
      <c r="F38" s="32">
        <v>11</v>
      </c>
      <c r="G38" s="32">
        <v>22</v>
      </c>
      <c r="H38" s="32">
        <v>19</v>
      </c>
      <c r="I38" s="32">
        <v>8</v>
      </c>
      <c r="J38" s="32">
        <v>21</v>
      </c>
      <c r="K38" s="32">
        <v>8</v>
      </c>
      <c r="L38" s="32">
        <v>9</v>
      </c>
      <c r="M38" s="32">
        <v>1</v>
      </c>
      <c r="N38" s="32">
        <v>12</v>
      </c>
      <c r="O38" s="32">
        <v>11</v>
      </c>
      <c r="P38" s="32">
        <v>58</v>
      </c>
      <c r="Q38" s="32">
        <v>56</v>
      </c>
      <c r="R38" s="32">
        <v>16</v>
      </c>
      <c r="S38" s="32">
        <v>16</v>
      </c>
      <c r="T38" s="32">
        <v>4</v>
      </c>
      <c r="U38" s="32">
        <v>30</v>
      </c>
      <c r="V38" s="32">
        <v>23</v>
      </c>
      <c r="W38" s="32">
        <v>33</v>
      </c>
      <c r="X38" s="32">
        <v>13</v>
      </c>
      <c r="Y38" s="32">
        <v>21</v>
      </c>
      <c r="Z38" s="32">
        <v>3</v>
      </c>
      <c r="AA38" s="32">
        <v>3</v>
      </c>
      <c r="AB38" s="32">
        <v>17</v>
      </c>
      <c r="AC38" s="32">
        <v>7</v>
      </c>
      <c r="AD38" s="32">
        <v>9</v>
      </c>
      <c r="AE38" s="32">
        <v>23</v>
      </c>
      <c r="AF38" s="32">
        <v>22</v>
      </c>
      <c r="AG38" s="32">
        <v>21</v>
      </c>
      <c r="AH38" s="32">
        <v>4</v>
      </c>
      <c r="AI38" s="32">
        <v>2</v>
      </c>
      <c r="AJ38" s="32">
        <v>5</v>
      </c>
      <c r="AK38" s="32">
        <v>48</v>
      </c>
      <c r="AL38" s="32">
        <v>23</v>
      </c>
      <c r="AM38" s="33"/>
      <c r="AN38" s="5">
        <f>SUM(C38:AM38)</f>
        <v>616</v>
      </c>
      <c r="AO38" t="str">
        <f>" 30～39歳（ n = "&amp;B38&amp;"）"</f>
        <v xml:space="preserve"> 30～39歳（ n = 196）</v>
      </c>
      <c r="AQ38">
        <v>3</v>
      </c>
    </row>
    <row r="39" spans="1:43" x14ac:dyDescent="0.2">
      <c r="A39" s="270"/>
      <c r="B39" s="35">
        <f>'問9S（表）'!B41</f>
        <v>12.128712871287128</v>
      </c>
      <c r="C39" s="20">
        <f t="shared" ref="C39:AL39" si="19">C38/$B$38*100</f>
        <v>10.204081632653061</v>
      </c>
      <c r="D39" s="207">
        <f t="shared" si="19"/>
        <v>2.5510204081632653</v>
      </c>
      <c r="E39" s="207">
        <f t="shared" si="19"/>
        <v>6.1224489795918364</v>
      </c>
      <c r="F39" s="207">
        <f t="shared" si="19"/>
        <v>5.6122448979591839</v>
      </c>
      <c r="G39" s="207">
        <f t="shared" si="19"/>
        <v>11.224489795918368</v>
      </c>
      <c r="H39" s="207">
        <f t="shared" si="19"/>
        <v>9.6938775510204085</v>
      </c>
      <c r="I39" s="207">
        <f t="shared" si="19"/>
        <v>4.0816326530612246</v>
      </c>
      <c r="J39" s="207">
        <f t="shared" si="19"/>
        <v>10.714285714285714</v>
      </c>
      <c r="K39" s="207">
        <f t="shared" si="19"/>
        <v>4.0816326530612246</v>
      </c>
      <c r="L39" s="207">
        <f t="shared" si="19"/>
        <v>4.591836734693878</v>
      </c>
      <c r="M39" s="207">
        <f t="shared" si="19"/>
        <v>0.51020408163265307</v>
      </c>
      <c r="N39" s="207">
        <f t="shared" si="19"/>
        <v>6.1224489795918364</v>
      </c>
      <c r="O39" s="207">
        <f t="shared" si="19"/>
        <v>5.6122448979591839</v>
      </c>
      <c r="P39" s="207">
        <f t="shared" si="19"/>
        <v>29.591836734693878</v>
      </c>
      <c r="Q39" s="207">
        <f t="shared" si="19"/>
        <v>28.571428571428569</v>
      </c>
      <c r="R39" s="207">
        <f t="shared" si="19"/>
        <v>8.1632653061224492</v>
      </c>
      <c r="S39" s="207">
        <f t="shared" si="19"/>
        <v>8.1632653061224492</v>
      </c>
      <c r="T39" s="207">
        <f t="shared" si="19"/>
        <v>2.0408163265306123</v>
      </c>
      <c r="U39" s="207">
        <f t="shared" si="19"/>
        <v>15.306122448979592</v>
      </c>
      <c r="V39" s="207">
        <f t="shared" si="19"/>
        <v>11.73469387755102</v>
      </c>
      <c r="W39" s="207">
        <f t="shared" si="19"/>
        <v>16.836734693877549</v>
      </c>
      <c r="X39" s="207">
        <f t="shared" si="19"/>
        <v>6.6326530612244898</v>
      </c>
      <c r="Y39" s="207">
        <f t="shared" si="19"/>
        <v>10.714285714285714</v>
      </c>
      <c r="Z39" s="207">
        <f t="shared" si="19"/>
        <v>1.5306122448979591</v>
      </c>
      <c r="AA39" s="207">
        <f t="shared" si="19"/>
        <v>1.5306122448979591</v>
      </c>
      <c r="AB39" s="207">
        <f t="shared" si="19"/>
        <v>8.6734693877551017</v>
      </c>
      <c r="AC39" s="207">
        <f t="shared" si="19"/>
        <v>3.5714285714285712</v>
      </c>
      <c r="AD39" s="207">
        <f t="shared" si="19"/>
        <v>4.591836734693878</v>
      </c>
      <c r="AE39" s="207">
        <f t="shared" si="19"/>
        <v>11.73469387755102</v>
      </c>
      <c r="AF39" s="207">
        <f t="shared" si="19"/>
        <v>11.224489795918368</v>
      </c>
      <c r="AG39" s="207">
        <f t="shared" si="19"/>
        <v>10.714285714285714</v>
      </c>
      <c r="AH39" s="207">
        <f t="shared" si="19"/>
        <v>2.0408163265306123</v>
      </c>
      <c r="AI39" s="207">
        <f t="shared" si="19"/>
        <v>1.0204081632653061</v>
      </c>
      <c r="AJ39" s="207">
        <f t="shared" si="19"/>
        <v>2.5510204081632653</v>
      </c>
      <c r="AK39" s="207">
        <f t="shared" si="19"/>
        <v>24.489795918367346</v>
      </c>
      <c r="AL39" s="207">
        <f t="shared" si="19"/>
        <v>11.73469387755102</v>
      </c>
      <c r="AM39" s="208"/>
      <c r="AN39" s="195"/>
    </row>
    <row r="40" spans="1:43" x14ac:dyDescent="0.2">
      <c r="A40" s="269" t="str">
        <f>'問10-1M（表）'!A40</f>
        <v>40～49歳(n = 281 )　　</v>
      </c>
      <c r="B40" s="34">
        <f>'問9S（表）'!B42</f>
        <v>281</v>
      </c>
      <c r="C40" s="31">
        <v>33</v>
      </c>
      <c r="D40" s="32">
        <v>19</v>
      </c>
      <c r="E40" s="32">
        <v>20</v>
      </c>
      <c r="F40" s="32">
        <v>25</v>
      </c>
      <c r="G40" s="32">
        <v>39</v>
      </c>
      <c r="H40" s="32">
        <v>18</v>
      </c>
      <c r="I40" s="32">
        <v>15</v>
      </c>
      <c r="J40" s="32">
        <v>43</v>
      </c>
      <c r="K40" s="32">
        <v>11</v>
      </c>
      <c r="L40" s="32">
        <v>10</v>
      </c>
      <c r="M40" s="32">
        <v>10</v>
      </c>
      <c r="N40" s="32">
        <v>31</v>
      </c>
      <c r="O40" s="32">
        <v>23</v>
      </c>
      <c r="P40" s="32">
        <v>60</v>
      </c>
      <c r="Q40" s="32">
        <v>69</v>
      </c>
      <c r="R40" s="32">
        <v>33</v>
      </c>
      <c r="S40" s="32">
        <v>23</v>
      </c>
      <c r="T40" s="32">
        <v>19</v>
      </c>
      <c r="U40" s="32">
        <v>35</v>
      </c>
      <c r="V40" s="32">
        <v>30</v>
      </c>
      <c r="W40" s="32">
        <v>44</v>
      </c>
      <c r="X40" s="32">
        <v>16</v>
      </c>
      <c r="Y40" s="32">
        <v>40</v>
      </c>
      <c r="Z40" s="32">
        <v>6</v>
      </c>
      <c r="AA40" s="32">
        <v>4</v>
      </c>
      <c r="AB40" s="32">
        <v>25</v>
      </c>
      <c r="AC40" s="32">
        <v>12</v>
      </c>
      <c r="AD40" s="32">
        <v>10</v>
      </c>
      <c r="AE40" s="32">
        <v>54</v>
      </c>
      <c r="AF40" s="32">
        <v>34</v>
      </c>
      <c r="AG40" s="32">
        <v>45</v>
      </c>
      <c r="AH40" s="32">
        <v>3</v>
      </c>
      <c r="AI40" s="32">
        <v>11</v>
      </c>
      <c r="AJ40" s="32">
        <v>12</v>
      </c>
      <c r="AK40" s="32">
        <v>56</v>
      </c>
      <c r="AL40" s="32">
        <v>26</v>
      </c>
      <c r="AM40" s="33"/>
      <c r="AN40" s="5">
        <f>SUM(C40:AM40)</f>
        <v>964</v>
      </c>
      <c r="AO40" t="str">
        <f>" 40～49歳（ n = "&amp;B40&amp;"）"</f>
        <v xml:space="preserve"> 40～49歳（ n = 281）</v>
      </c>
      <c r="AQ40">
        <v>4</v>
      </c>
    </row>
    <row r="41" spans="1:43" x14ac:dyDescent="0.2">
      <c r="A41" s="270"/>
      <c r="B41" s="35">
        <f>'問9S（表）'!B43</f>
        <v>17.388613861386137</v>
      </c>
      <c r="C41" s="20">
        <f t="shared" ref="C41:AL41" si="20">C40/$B$40*100</f>
        <v>11.743772241992882</v>
      </c>
      <c r="D41" s="207">
        <f t="shared" si="20"/>
        <v>6.7615658362989333</v>
      </c>
      <c r="E41" s="207">
        <f t="shared" si="20"/>
        <v>7.1174377224199299</v>
      </c>
      <c r="F41" s="207">
        <f t="shared" si="20"/>
        <v>8.8967971530249113</v>
      </c>
      <c r="G41" s="207">
        <f t="shared" si="20"/>
        <v>13.87900355871886</v>
      </c>
      <c r="H41" s="207">
        <f t="shared" si="20"/>
        <v>6.4056939501779357</v>
      </c>
      <c r="I41" s="207">
        <f t="shared" si="20"/>
        <v>5.3380782918149468</v>
      </c>
      <c r="J41" s="207">
        <f t="shared" si="20"/>
        <v>15.302491103202847</v>
      </c>
      <c r="K41" s="207">
        <f t="shared" si="20"/>
        <v>3.9145907473309607</v>
      </c>
      <c r="L41" s="207">
        <f t="shared" si="20"/>
        <v>3.5587188612099649</v>
      </c>
      <c r="M41" s="207">
        <f t="shared" si="20"/>
        <v>3.5587188612099649</v>
      </c>
      <c r="N41" s="207">
        <f t="shared" si="20"/>
        <v>11.032028469750891</v>
      </c>
      <c r="O41" s="207">
        <f t="shared" si="20"/>
        <v>8.185053380782918</v>
      </c>
      <c r="P41" s="207">
        <f t="shared" si="20"/>
        <v>21.352313167259787</v>
      </c>
      <c r="Q41" s="207">
        <f t="shared" si="20"/>
        <v>24.555160142348754</v>
      </c>
      <c r="R41" s="207">
        <f t="shared" si="20"/>
        <v>11.743772241992882</v>
      </c>
      <c r="S41" s="207">
        <f t="shared" si="20"/>
        <v>8.185053380782918</v>
      </c>
      <c r="T41" s="207">
        <f t="shared" si="20"/>
        <v>6.7615658362989333</v>
      </c>
      <c r="U41" s="207">
        <f t="shared" si="20"/>
        <v>12.455516014234876</v>
      </c>
      <c r="V41" s="207">
        <f t="shared" si="20"/>
        <v>10.676156583629894</v>
      </c>
      <c r="W41" s="207">
        <f t="shared" si="20"/>
        <v>15.658362989323843</v>
      </c>
      <c r="X41" s="207">
        <f t="shared" si="20"/>
        <v>5.6939501779359425</v>
      </c>
      <c r="Y41" s="207">
        <f t="shared" si="20"/>
        <v>14.23487544483986</v>
      </c>
      <c r="Z41" s="207">
        <f t="shared" si="20"/>
        <v>2.1352313167259789</v>
      </c>
      <c r="AA41" s="207">
        <f t="shared" si="20"/>
        <v>1.4234875444839856</v>
      </c>
      <c r="AB41" s="207">
        <f t="shared" si="20"/>
        <v>8.8967971530249113</v>
      </c>
      <c r="AC41" s="207">
        <f t="shared" si="20"/>
        <v>4.2704626334519578</v>
      </c>
      <c r="AD41" s="207">
        <f t="shared" si="20"/>
        <v>3.5587188612099649</v>
      </c>
      <c r="AE41" s="207">
        <f t="shared" si="20"/>
        <v>19.217081850533805</v>
      </c>
      <c r="AF41" s="207">
        <f t="shared" si="20"/>
        <v>12.099644128113878</v>
      </c>
      <c r="AG41" s="207">
        <f t="shared" si="20"/>
        <v>16.014234875444842</v>
      </c>
      <c r="AH41" s="207">
        <f t="shared" si="20"/>
        <v>1.0676156583629894</v>
      </c>
      <c r="AI41" s="207">
        <f t="shared" si="20"/>
        <v>3.9145907473309607</v>
      </c>
      <c r="AJ41" s="207">
        <f t="shared" si="20"/>
        <v>4.2704626334519578</v>
      </c>
      <c r="AK41" s="207">
        <f t="shared" si="20"/>
        <v>19.9288256227758</v>
      </c>
      <c r="AL41" s="207">
        <f t="shared" si="20"/>
        <v>9.252669039145907</v>
      </c>
      <c r="AM41" s="208"/>
      <c r="AN41" s="195"/>
    </row>
    <row r="42" spans="1:43" x14ac:dyDescent="0.2">
      <c r="A42" s="269" t="str">
        <f>'問10-1M（表）'!A42</f>
        <v>50～59歳(n = 320 )　　</v>
      </c>
      <c r="B42" s="34">
        <f>'問9S（表）'!B44</f>
        <v>320</v>
      </c>
      <c r="C42" s="31">
        <v>40</v>
      </c>
      <c r="D42" s="32">
        <v>17</v>
      </c>
      <c r="E42" s="32">
        <v>17</v>
      </c>
      <c r="F42" s="32">
        <v>25</v>
      </c>
      <c r="G42" s="32">
        <v>26</v>
      </c>
      <c r="H42" s="32">
        <v>21</v>
      </c>
      <c r="I42" s="32">
        <v>19</v>
      </c>
      <c r="J42" s="32">
        <v>45</v>
      </c>
      <c r="K42" s="32">
        <v>5</v>
      </c>
      <c r="L42" s="32">
        <v>7</v>
      </c>
      <c r="M42" s="32">
        <v>6</v>
      </c>
      <c r="N42" s="32">
        <v>44</v>
      </c>
      <c r="O42" s="32">
        <v>19</v>
      </c>
      <c r="P42" s="32">
        <v>44</v>
      </c>
      <c r="Q42" s="32">
        <v>31</v>
      </c>
      <c r="R42" s="32">
        <v>25</v>
      </c>
      <c r="S42" s="32">
        <v>35</v>
      </c>
      <c r="T42" s="32">
        <v>19</v>
      </c>
      <c r="U42" s="32">
        <v>34</v>
      </c>
      <c r="V42" s="32">
        <v>36</v>
      </c>
      <c r="W42" s="32">
        <v>30</v>
      </c>
      <c r="X42" s="32">
        <v>20</v>
      </c>
      <c r="Y42" s="32">
        <v>32</v>
      </c>
      <c r="Z42" s="32">
        <v>13</v>
      </c>
      <c r="AA42" s="32">
        <v>10</v>
      </c>
      <c r="AB42" s="32">
        <v>36</v>
      </c>
      <c r="AC42" s="32">
        <v>24</v>
      </c>
      <c r="AD42" s="32">
        <v>16</v>
      </c>
      <c r="AE42" s="32">
        <v>64</v>
      </c>
      <c r="AF42" s="32">
        <v>24</v>
      </c>
      <c r="AG42" s="32">
        <v>24</v>
      </c>
      <c r="AH42" s="32">
        <v>10</v>
      </c>
      <c r="AI42" s="32">
        <v>15</v>
      </c>
      <c r="AJ42" s="32">
        <v>15</v>
      </c>
      <c r="AK42" s="32">
        <v>64</v>
      </c>
      <c r="AL42" s="32">
        <v>34</v>
      </c>
      <c r="AM42" s="33"/>
      <c r="AN42" s="5">
        <f>SUM(C42:AM42)</f>
        <v>946</v>
      </c>
      <c r="AO42" t="str">
        <f>" 50～59歳（ n = "&amp;B42&amp;"）"</f>
        <v xml:space="preserve"> 50～59歳（ n = 320）</v>
      </c>
      <c r="AQ42">
        <v>5</v>
      </c>
    </row>
    <row r="43" spans="1:43" x14ac:dyDescent="0.2">
      <c r="A43" s="270"/>
      <c r="B43" s="35">
        <f>'問9S（表）'!B45</f>
        <v>19.801980198019802</v>
      </c>
      <c r="C43" s="20">
        <f t="shared" ref="C43:AL43" si="21">C42/$B$42*100</f>
        <v>12.5</v>
      </c>
      <c r="D43" s="207">
        <f t="shared" si="21"/>
        <v>5.3125</v>
      </c>
      <c r="E43" s="207">
        <f t="shared" si="21"/>
        <v>5.3125</v>
      </c>
      <c r="F43" s="207">
        <f t="shared" si="21"/>
        <v>7.8125</v>
      </c>
      <c r="G43" s="207">
        <f t="shared" si="21"/>
        <v>8.125</v>
      </c>
      <c r="H43" s="207">
        <f t="shared" si="21"/>
        <v>6.5625</v>
      </c>
      <c r="I43" s="207">
        <f t="shared" si="21"/>
        <v>5.9375</v>
      </c>
      <c r="J43" s="207">
        <f t="shared" si="21"/>
        <v>14.0625</v>
      </c>
      <c r="K43" s="207">
        <f t="shared" si="21"/>
        <v>1.5625</v>
      </c>
      <c r="L43" s="207">
        <f t="shared" si="21"/>
        <v>2.1875</v>
      </c>
      <c r="M43" s="207">
        <f t="shared" si="21"/>
        <v>1.875</v>
      </c>
      <c r="N43" s="207">
        <f t="shared" si="21"/>
        <v>13.750000000000002</v>
      </c>
      <c r="O43" s="207">
        <f t="shared" si="21"/>
        <v>5.9375</v>
      </c>
      <c r="P43" s="207">
        <f t="shared" si="21"/>
        <v>13.750000000000002</v>
      </c>
      <c r="Q43" s="207">
        <f t="shared" si="21"/>
        <v>9.6875</v>
      </c>
      <c r="R43" s="207">
        <f t="shared" si="21"/>
        <v>7.8125</v>
      </c>
      <c r="S43" s="207">
        <f t="shared" si="21"/>
        <v>10.9375</v>
      </c>
      <c r="T43" s="207">
        <f t="shared" si="21"/>
        <v>5.9375</v>
      </c>
      <c r="U43" s="207">
        <f t="shared" si="21"/>
        <v>10.625</v>
      </c>
      <c r="V43" s="207">
        <f t="shared" si="21"/>
        <v>11.25</v>
      </c>
      <c r="W43" s="207">
        <f t="shared" si="21"/>
        <v>9.375</v>
      </c>
      <c r="X43" s="207">
        <f t="shared" si="21"/>
        <v>6.25</v>
      </c>
      <c r="Y43" s="207">
        <f t="shared" si="21"/>
        <v>10</v>
      </c>
      <c r="Z43" s="207">
        <f t="shared" si="21"/>
        <v>4.0625</v>
      </c>
      <c r="AA43" s="207">
        <f t="shared" si="21"/>
        <v>3.125</v>
      </c>
      <c r="AB43" s="207">
        <f t="shared" si="21"/>
        <v>11.25</v>
      </c>
      <c r="AC43" s="207">
        <f t="shared" si="21"/>
        <v>7.5</v>
      </c>
      <c r="AD43" s="207">
        <f t="shared" si="21"/>
        <v>5</v>
      </c>
      <c r="AE43" s="207">
        <f t="shared" si="21"/>
        <v>20</v>
      </c>
      <c r="AF43" s="207">
        <f t="shared" si="21"/>
        <v>7.5</v>
      </c>
      <c r="AG43" s="207">
        <f t="shared" si="21"/>
        <v>7.5</v>
      </c>
      <c r="AH43" s="207">
        <f t="shared" si="21"/>
        <v>3.125</v>
      </c>
      <c r="AI43" s="207">
        <f t="shared" si="21"/>
        <v>4.6875</v>
      </c>
      <c r="AJ43" s="207">
        <f t="shared" si="21"/>
        <v>4.6875</v>
      </c>
      <c r="AK43" s="207">
        <f t="shared" si="21"/>
        <v>20</v>
      </c>
      <c r="AL43" s="207">
        <f t="shared" si="21"/>
        <v>10.625</v>
      </c>
      <c r="AM43" s="208"/>
      <c r="AN43" s="195"/>
    </row>
    <row r="44" spans="1:43" x14ac:dyDescent="0.2">
      <c r="A44" s="269" t="str">
        <f>'問10-1M（表）'!A44</f>
        <v>60～69歳(n = 352 )　　</v>
      </c>
      <c r="B44" s="34">
        <f>'問9S（表）'!B46</f>
        <v>352</v>
      </c>
      <c r="C44" s="31">
        <v>49</v>
      </c>
      <c r="D44" s="32">
        <v>16</v>
      </c>
      <c r="E44" s="32">
        <v>26</v>
      </c>
      <c r="F44" s="32">
        <v>39</v>
      </c>
      <c r="G44" s="32">
        <v>30</v>
      </c>
      <c r="H44" s="32">
        <v>25</v>
      </c>
      <c r="I44" s="32">
        <v>33</v>
      </c>
      <c r="J44" s="32">
        <v>51</v>
      </c>
      <c r="K44" s="32">
        <v>16</v>
      </c>
      <c r="L44" s="32">
        <v>4</v>
      </c>
      <c r="M44" s="32">
        <v>4</v>
      </c>
      <c r="N44" s="32">
        <v>62</v>
      </c>
      <c r="O44" s="32">
        <v>26</v>
      </c>
      <c r="P44" s="32">
        <v>48</v>
      </c>
      <c r="Q44" s="32">
        <v>37</v>
      </c>
      <c r="R44" s="32">
        <v>32</v>
      </c>
      <c r="S44" s="32">
        <v>40</v>
      </c>
      <c r="T44" s="32">
        <v>10</v>
      </c>
      <c r="U44" s="32">
        <v>32</v>
      </c>
      <c r="V44" s="32">
        <v>32</v>
      </c>
      <c r="W44" s="32">
        <v>32</v>
      </c>
      <c r="X44" s="32">
        <v>30</v>
      </c>
      <c r="Y44" s="32">
        <v>39</v>
      </c>
      <c r="Z44" s="32">
        <v>20</v>
      </c>
      <c r="AA44" s="32">
        <v>14</v>
      </c>
      <c r="AB44" s="32">
        <v>49</v>
      </c>
      <c r="AC44" s="32">
        <v>32</v>
      </c>
      <c r="AD44" s="32">
        <v>12</v>
      </c>
      <c r="AE44" s="32">
        <v>74</v>
      </c>
      <c r="AF44" s="32">
        <v>27</v>
      </c>
      <c r="AG44" s="32">
        <v>18</v>
      </c>
      <c r="AH44" s="32">
        <v>9</v>
      </c>
      <c r="AI44" s="32">
        <v>12</v>
      </c>
      <c r="AJ44" s="32">
        <v>11</v>
      </c>
      <c r="AK44" s="32">
        <v>62</v>
      </c>
      <c r="AL44" s="32">
        <v>42</v>
      </c>
      <c r="AM44" s="33"/>
      <c r="AN44" s="5">
        <f>SUM(C44:AM44)</f>
        <v>1095</v>
      </c>
      <c r="AO44" t="str">
        <f>" 60～69歳（ n = "&amp;B44&amp;"）"</f>
        <v xml:space="preserve"> 60～69歳（ n = 352）</v>
      </c>
      <c r="AQ44">
        <v>6</v>
      </c>
    </row>
    <row r="45" spans="1:43" x14ac:dyDescent="0.2">
      <c r="A45" s="270"/>
      <c r="B45" s="35">
        <f>'問9S（表）'!B47</f>
        <v>21.782178217821784</v>
      </c>
      <c r="C45" s="20">
        <f t="shared" ref="C45:AL45" si="22">C44/$B$44*100</f>
        <v>13.920454545454545</v>
      </c>
      <c r="D45" s="207">
        <f t="shared" si="22"/>
        <v>4.5454545454545459</v>
      </c>
      <c r="E45" s="207">
        <f t="shared" si="22"/>
        <v>7.3863636363636367</v>
      </c>
      <c r="F45" s="207">
        <f t="shared" si="22"/>
        <v>11.079545454545455</v>
      </c>
      <c r="G45" s="207">
        <f t="shared" si="22"/>
        <v>8.5227272727272716</v>
      </c>
      <c r="H45" s="207">
        <f t="shared" si="22"/>
        <v>7.1022727272727275</v>
      </c>
      <c r="I45" s="207">
        <f t="shared" si="22"/>
        <v>9.375</v>
      </c>
      <c r="J45" s="207">
        <f t="shared" si="22"/>
        <v>14.488636363636365</v>
      </c>
      <c r="K45" s="207">
        <f t="shared" si="22"/>
        <v>4.5454545454545459</v>
      </c>
      <c r="L45" s="207">
        <f t="shared" si="22"/>
        <v>1.1363636363636365</v>
      </c>
      <c r="M45" s="207">
        <f t="shared" si="22"/>
        <v>1.1363636363636365</v>
      </c>
      <c r="N45" s="207">
        <f t="shared" si="22"/>
        <v>17.613636363636363</v>
      </c>
      <c r="O45" s="207">
        <f t="shared" si="22"/>
        <v>7.3863636363636367</v>
      </c>
      <c r="P45" s="207">
        <f t="shared" si="22"/>
        <v>13.636363636363635</v>
      </c>
      <c r="Q45" s="207">
        <f t="shared" si="22"/>
        <v>10.511363636363637</v>
      </c>
      <c r="R45" s="207">
        <f t="shared" si="22"/>
        <v>9.0909090909090917</v>
      </c>
      <c r="S45" s="207">
        <f t="shared" si="22"/>
        <v>11.363636363636363</v>
      </c>
      <c r="T45" s="207">
        <f t="shared" si="22"/>
        <v>2.8409090909090908</v>
      </c>
      <c r="U45" s="207">
        <f t="shared" si="22"/>
        <v>9.0909090909090917</v>
      </c>
      <c r="V45" s="207">
        <f t="shared" si="22"/>
        <v>9.0909090909090917</v>
      </c>
      <c r="W45" s="207">
        <f t="shared" si="22"/>
        <v>9.0909090909090917</v>
      </c>
      <c r="X45" s="207">
        <f t="shared" si="22"/>
        <v>8.5227272727272716</v>
      </c>
      <c r="Y45" s="207">
        <f t="shared" si="22"/>
        <v>11.079545454545455</v>
      </c>
      <c r="Z45" s="207">
        <f t="shared" si="22"/>
        <v>5.6818181818181817</v>
      </c>
      <c r="AA45" s="207">
        <f t="shared" si="22"/>
        <v>3.9772727272727271</v>
      </c>
      <c r="AB45" s="207">
        <f t="shared" si="22"/>
        <v>13.920454545454545</v>
      </c>
      <c r="AC45" s="207">
        <f t="shared" si="22"/>
        <v>9.0909090909090917</v>
      </c>
      <c r="AD45" s="207">
        <f t="shared" si="22"/>
        <v>3.4090909090909087</v>
      </c>
      <c r="AE45" s="207">
        <f t="shared" si="22"/>
        <v>21.022727272727273</v>
      </c>
      <c r="AF45" s="207">
        <f t="shared" si="22"/>
        <v>7.6704545454545459</v>
      </c>
      <c r="AG45" s="207">
        <f t="shared" si="22"/>
        <v>5.1136363636363642</v>
      </c>
      <c r="AH45" s="207">
        <f t="shared" si="22"/>
        <v>2.5568181818181821</v>
      </c>
      <c r="AI45" s="207">
        <f t="shared" si="22"/>
        <v>3.4090909090909087</v>
      </c>
      <c r="AJ45" s="207">
        <f t="shared" si="22"/>
        <v>3.125</v>
      </c>
      <c r="AK45" s="207">
        <f t="shared" si="22"/>
        <v>17.613636363636363</v>
      </c>
      <c r="AL45" s="207">
        <f t="shared" si="22"/>
        <v>11.931818181818182</v>
      </c>
      <c r="AM45" s="208"/>
      <c r="AN45" s="195"/>
    </row>
    <row r="46" spans="1:43" x14ac:dyDescent="0.2">
      <c r="A46" s="269" t="str">
        <f>'問10-1M（表）'!A46</f>
        <v>70歳以上(n = 315 )　　</v>
      </c>
      <c r="B46" s="34">
        <f>'問9S（表）'!B48</f>
        <v>315</v>
      </c>
      <c r="C46" s="31">
        <v>33</v>
      </c>
      <c r="D46" s="32">
        <v>20</v>
      </c>
      <c r="E46" s="32">
        <v>20</v>
      </c>
      <c r="F46" s="32">
        <v>32</v>
      </c>
      <c r="G46" s="32">
        <v>29</v>
      </c>
      <c r="H46" s="32">
        <v>21</v>
      </c>
      <c r="I46" s="32">
        <v>22</v>
      </c>
      <c r="J46" s="32">
        <v>40</v>
      </c>
      <c r="K46" s="32">
        <v>12</v>
      </c>
      <c r="L46" s="32">
        <v>8</v>
      </c>
      <c r="M46" s="32">
        <v>15</v>
      </c>
      <c r="N46" s="32">
        <v>60</v>
      </c>
      <c r="O46" s="32">
        <v>19</v>
      </c>
      <c r="P46" s="32">
        <v>46</v>
      </c>
      <c r="Q46" s="32">
        <v>28</v>
      </c>
      <c r="R46" s="32">
        <v>25</v>
      </c>
      <c r="S46" s="32">
        <v>30</v>
      </c>
      <c r="T46" s="32">
        <v>14</v>
      </c>
      <c r="U46" s="32">
        <v>28</v>
      </c>
      <c r="V46" s="32">
        <v>14</v>
      </c>
      <c r="W46" s="32">
        <v>17</v>
      </c>
      <c r="X46" s="32">
        <v>26</v>
      </c>
      <c r="Y46" s="32">
        <v>33</v>
      </c>
      <c r="Z46" s="32">
        <v>25</v>
      </c>
      <c r="AA46" s="32">
        <v>19</v>
      </c>
      <c r="AB46" s="32">
        <v>39</v>
      </c>
      <c r="AC46" s="32">
        <v>30</v>
      </c>
      <c r="AD46" s="32">
        <v>15</v>
      </c>
      <c r="AE46" s="32">
        <v>67</v>
      </c>
      <c r="AF46" s="32">
        <v>20</v>
      </c>
      <c r="AG46" s="32">
        <v>19</v>
      </c>
      <c r="AH46" s="32">
        <v>14</v>
      </c>
      <c r="AI46" s="32">
        <v>9</v>
      </c>
      <c r="AJ46" s="32">
        <v>5</v>
      </c>
      <c r="AK46" s="32">
        <v>70</v>
      </c>
      <c r="AL46" s="32">
        <v>31</v>
      </c>
      <c r="AM46" s="33"/>
      <c r="AN46" s="5">
        <f>SUM(C46:AM46)</f>
        <v>955</v>
      </c>
      <c r="AO46" t="str">
        <f>" 70歳以上（ n = "&amp;B46&amp;"）"</f>
        <v xml:space="preserve"> 70歳以上（ n = 315）</v>
      </c>
      <c r="AQ46">
        <v>7</v>
      </c>
    </row>
    <row r="47" spans="1:43" x14ac:dyDescent="0.2">
      <c r="A47" s="270"/>
      <c r="B47" s="35">
        <f>'問9S（表）'!B49</f>
        <v>19.492574257425744</v>
      </c>
      <c r="C47" s="20">
        <f t="shared" ref="C47:AL47" si="23">C46/$B$46*100</f>
        <v>10.476190476190476</v>
      </c>
      <c r="D47" s="207">
        <f t="shared" si="23"/>
        <v>6.3492063492063489</v>
      </c>
      <c r="E47" s="207">
        <f t="shared" si="23"/>
        <v>6.3492063492063489</v>
      </c>
      <c r="F47" s="207">
        <f t="shared" si="23"/>
        <v>10.158730158730158</v>
      </c>
      <c r="G47" s="207">
        <f t="shared" si="23"/>
        <v>9.2063492063492074</v>
      </c>
      <c r="H47" s="207">
        <f t="shared" si="23"/>
        <v>6.666666666666667</v>
      </c>
      <c r="I47" s="207">
        <f t="shared" si="23"/>
        <v>6.9841269841269842</v>
      </c>
      <c r="J47" s="207">
        <f t="shared" si="23"/>
        <v>12.698412698412698</v>
      </c>
      <c r="K47" s="207">
        <f t="shared" si="23"/>
        <v>3.8095238095238098</v>
      </c>
      <c r="L47" s="207">
        <f t="shared" si="23"/>
        <v>2.5396825396825395</v>
      </c>
      <c r="M47" s="207">
        <f t="shared" si="23"/>
        <v>4.7619047619047619</v>
      </c>
      <c r="N47" s="207">
        <f t="shared" si="23"/>
        <v>19.047619047619047</v>
      </c>
      <c r="O47" s="207">
        <f t="shared" si="23"/>
        <v>6.0317460317460316</v>
      </c>
      <c r="P47" s="207">
        <f t="shared" si="23"/>
        <v>14.603174603174605</v>
      </c>
      <c r="Q47" s="207">
        <f t="shared" si="23"/>
        <v>8.8888888888888893</v>
      </c>
      <c r="R47" s="207">
        <f t="shared" si="23"/>
        <v>7.9365079365079358</v>
      </c>
      <c r="S47" s="207">
        <f t="shared" si="23"/>
        <v>9.5238095238095237</v>
      </c>
      <c r="T47" s="207">
        <f t="shared" si="23"/>
        <v>4.4444444444444446</v>
      </c>
      <c r="U47" s="207">
        <f t="shared" si="23"/>
        <v>8.8888888888888893</v>
      </c>
      <c r="V47" s="207">
        <f t="shared" si="23"/>
        <v>4.4444444444444446</v>
      </c>
      <c r="W47" s="207">
        <f t="shared" si="23"/>
        <v>5.3968253968253972</v>
      </c>
      <c r="X47" s="207">
        <f t="shared" si="23"/>
        <v>8.2539682539682531</v>
      </c>
      <c r="Y47" s="207">
        <f t="shared" si="23"/>
        <v>10.476190476190476</v>
      </c>
      <c r="Z47" s="207">
        <f t="shared" si="23"/>
        <v>7.9365079365079358</v>
      </c>
      <c r="AA47" s="207">
        <f t="shared" si="23"/>
        <v>6.0317460317460316</v>
      </c>
      <c r="AB47" s="207">
        <f t="shared" si="23"/>
        <v>12.380952380952381</v>
      </c>
      <c r="AC47" s="207">
        <f t="shared" si="23"/>
        <v>9.5238095238095237</v>
      </c>
      <c r="AD47" s="207">
        <f t="shared" si="23"/>
        <v>4.7619047619047619</v>
      </c>
      <c r="AE47" s="207">
        <f t="shared" si="23"/>
        <v>21.269841269841269</v>
      </c>
      <c r="AF47" s="207">
        <f t="shared" si="23"/>
        <v>6.3492063492063489</v>
      </c>
      <c r="AG47" s="207">
        <f t="shared" si="23"/>
        <v>6.0317460317460316</v>
      </c>
      <c r="AH47" s="207">
        <f t="shared" si="23"/>
        <v>4.4444444444444446</v>
      </c>
      <c r="AI47" s="207">
        <f t="shared" si="23"/>
        <v>2.8571428571428572</v>
      </c>
      <c r="AJ47" s="207">
        <f t="shared" si="23"/>
        <v>1.5873015873015872</v>
      </c>
      <c r="AK47" s="207">
        <f t="shared" si="23"/>
        <v>22.222222222222221</v>
      </c>
      <c r="AL47" s="207">
        <f t="shared" si="23"/>
        <v>9.8412698412698418</v>
      </c>
      <c r="AM47" s="208"/>
      <c r="AN47" s="195"/>
    </row>
    <row r="48" spans="1:43" s="186" customFormat="1" x14ac:dyDescent="0.2">
      <c r="A48" s="184"/>
      <c r="B48" s="182"/>
      <c r="C48" s="182">
        <f t="shared" ref="C48:AL48" si="24">_xlfn.RANK.EQ(C33,$C$33:$AL$33,0)</f>
        <v>7</v>
      </c>
      <c r="D48" s="182">
        <f t="shared" si="24"/>
        <v>26</v>
      </c>
      <c r="E48" s="182">
        <f t="shared" si="24"/>
        <v>25</v>
      </c>
      <c r="F48" s="182">
        <f t="shared" si="24"/>
        <v>17</v>
      </c>
      <c r="G48" s="182">
        <f t="shared" si="24"/>
        <v>13</v>
      </c>
      <c r="H48" s="182">
        <f t="shared" si="24"/>
        <v>21</v>
      </c>
      <c r="I48" s="182">
        <f t="shared" si="24"/>
        <v>24</v>
      </c>
      <c r="J48" s="182">
        <f t="shared" si="24"/>
        <v>6</v>
      </c>
      <c r="K48" s="182">
        <f t="shared" si="24"/>
        <v>31</v>
      </c>
      <c r="L48" s="182">
        <f t="shared" si="24"/>
        <v>36</v>
      </c>
      <c r="M48" s="182">
        <f t="shared" si="24"/>
        <v>35</v>
      </c>
      <c r="N48" s="182">
        <f t="shared" si="24"/>
        <v>5</v>
      </c>
      <c r="O48" s="182">
        <f t="shared" si="24"/>
        <v>22</v>
      </c>
      <c r="P48" s="182">
        <f t="shared" si="24"/>
        <v>3</v>
      </c>
      <c r="Q48" s="182">
        <f t="shared" si="24"/>
        <v>4</v>
      </c>
      <c r="R48" s="182">
        <f t="shared" si="24"/>
        <v>18</v>
      </c>
      <c r="S48" s="182">
        <f t="shared" si="24"/>
        <v>14</v>
      </c>
      <c r="T48" s="182">
        <f t="shared" si="24"/>
        <v>27</v>
      </c>
      <c r="U48" s="182">
        <f t="shared" si="24"/>
        <v>11</v>
      </c>
      <c r="V48" s="182">
        <f t="shared" si="24"/>
        <v>15</v>
      </c>
      <c r="W48" s="182">
        <f t="shared" si="24"/>
        <v>8</v>
      </c>
      <c r="X48" s="182">
        <f t="shared" si="24"/>
        <v>20</v>
      </c>
      <c r="Y48" s="182">
        <f t="shared" si="24"/>
        <v>10</v>
      </c>
      <c r="Z48" s="182">
        <f t="shared" si="24"/>
        <v>27</v>
      </c>
      <c r="AA48" s="182">
        <f t="shared" si="24"/>
        <v>32</v>
      </c>
      <c r="AB48" s="182">
        <f t="shared" si="24"/>
        <v>12</v>
      </c>
      <c r="AC48" s="182">
        <f t="shared" si="24"/>
        <v>23</v>
      </c>
      <c r="AD48" s="182">
        <f t="shared" si="24"/>
        <v>29</v>
      </c>
      <c r="AE48" s="182">
        <f t="shared" si="24"/>
        <v>2</v>
      </c>
      <c r="AF48" s="182">
        <f t="shared" si="24"/>
        <v>19</v>
      </c>
      <c r="AG48" s="182">
        <f t="shared" si="24"/>
        <v>16</v>
      </c>
      <c r="AH48" s="182">
        <f t="shared" si="24"/>
        <v>34</v>
      </c>
      <c r="AI48" s="182">
        <f t="shared" si="24"/>
        <v>30</v>
      </c>
      <c r="AJ48" s="182">
        <f t="shared" si="24"/>
        <v>32</v>
      </c>
      <c r="AK48" s="182">
        <f t="shared" si="24"/>
        <v>1</v>
      </c>
      <c r="AL48" s="182">
        <f t="shared" si="24"/>
        <v>8</v>
      </c>
      <c r="AM48" s="182">
        <v>37</v>
      </c>
      <c r="AN48" s="182">
        <f>SUM(C48:AM48)</f>
        <v>700</v>
      </c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45"/>
      <c r="C50" s="182">
        <f t="shared" ref="C50:AL50" si="25">_xlfn.RANK.EQ(C53,$C$53:$AL$53)</f>
        <v>1</v>
      </c>
      <c r="D50" s="182">
        <f t="shared" si="25"/>
        <v>2</v>
      </c>
      <c r="E50" s="182">
        <f t="shared" si="25"/>
        <v>3</v>
      </c>
      <c r="F50" s="182">
        <f t="shared" si="25"/>
        <v>4</v>
      </c>
      <c r="G50" s="182">
        <f t="shared" si="25"/>
        <v>5</v>
      </c>
      <c r="H50" s="182">
        <f t="shared" si="25"/>
        <v>6</v>
      </c>
      <c r="I50" s="182">
        <f t="shared" si="25"/>
        <v>7</v>
      </c>
      <c r="J50" s="182">
        <f t="shared" si="25"/>
        <v>8</v>
      </c>
      <c r="K50" s="182">
        <f t="shared" si="25"/>
        <v>8</v>
      </c>
      <c r="L50" s="182">
        <f t="shared" si="25"/>
        <v>10</v>
      </c>
      <c r="M50" s="182">
        <f t="shared" si="25"/>
        <v>11</v>
      </c>
      <c r="N50" s="182">
        <f t="shared" si="25"/>
        <v>12</v>
      </c>
      <c r="O50" s="182">
        <f t="shared" si="25"/>
        <v>13</v>
      </c>
      <c r="P50" s="182">
        <f t="shared" si="25"/>
        <v>14</v>
      </c>
      <c r="Q50" s="182">
        <f t="shared" si="25"/>
        <v>15</v>
      </c>
      <c r="R50" s="182">
        <f t="shared" si="25"/>
        <v>16</v>
      </c>
      <c r="S50" s="182">
        <f t="shared" si="25"/>
        <v>17</v>
      </c>
      <c r="T50" s="182">
        <f t="shared" si="25"/>
        <v>18</v>
      </c>
      <c r="U50" s="182">
        <f t="shared" si="25"/>
        <v>19</v>
      </c>
      <c r="V50" s="182">
        <f t="shared" si="25"/>
        <v>20</v>
      </c>
      <c r="W50" s="182">
        <f t="shared" si="25"/>
        <v>21</v>
      </c>
      <c r="X50" s="182">
        <f t="shared" si="25"/>
        <v>22</v>
      </c>
      <c r="Y50" s="182">
        <f t="shared" si="25"/>
        <v>23</v>
      </c>
      <c r="Z50" s="182">
        <f t="shared" si="25"/>
        <v>24</v>
      </c>
      <c r="AA50" s="182">
        <f t="shared" si="25"/>
        <v>25</v>
      </c>
      <c r="AB50" s="182">
        <f t="shared" si="25"/>
        <v>26</v>
      </c>
      <c r="AC50" s="182">
        <f t="shared" si="25"/>
        <v>27</v>
      </c>
      <c r="AD50" s="182">
        <f t="shared" si="25"/>
        <v>27</v>
      </c>
      <c r="AE50" s="182">
        <f t="shared" si="25"/>
        <v>29</v>
      </c>
      <c r="AF50" s="182">
        <f t="shared" si="25"/>
        <v>30</v>
      </c>
      <c r="AG50" s="182">
        <f t="shared" si="25"/>
        <v>31</v>
      </c>
      <c r="AH50" s="182">
        <f t="shared" si="25"/>
        <v>32</v>
      </c>
      <c r="AI50" s="182">
        <f t="shared" si="25"/>
        <v>32</v>
      </c>
      <c r="AJ50" s="182">
        <f t="shared" si="25"/>
        <v>34</v>
      </c>
      <c r="AK50" s="182">
        <f t="shared" si="25"/>
        <v>35</v>
      </c>
      <c r="AL50" s="182">
        <f t="shared" si="25"/>
        <v>36</v>
      </c>
      <c r="AM50" s="197">
        <v>37</v>
      </c>
    </row>
    <row r="51" spans="1:40" ht="43.2" x14ac:dyDescent="0.2">
      <c r="A51" s="12" t="s">
        <v>59</v>
      </c>
      <c r="B51" s="59" t="s">
        <v>157</v>
      </c>
      <c r="C51" s="60" t="s">
        <v>340</v>
      </c>
      <c r="D51" s="61" t="s">
        <v>351</v>
      </c>
      <c r="E51" s="61" t="s">
        <v>342</v>
      </c>
      <c r="F51" s="61" t="s">
        <v>365</v>
      </c>
      <c r="G51" s="61" t="s">
        <v>367</v>
      </c>
      <c r="H51" s="61" t="s">
        <v>366</v>
      </c>
      <c r="I51" s="61" t="s">
        <v>369</v>
      </c>
      <c r="J51" s="61" t="s">
        <v>335</v>
      </c>
      <c r="K51" s="61" t="s">
        <v>346</v>
      </c>
      <c r="L51" s="61" t="s">
        <v>337</v>
      </c>
      <c r="M51" s="61" t="s">
        <v>360</v>
      </c>
      <c r="N51" s="61" t="s">
        <v>368</v>
      </c>
      <c r="O51" s="61" t="s">
        <v>339</v>
      </c>
      <c r="P51" s="61" t="s">
        <v>344</v>
      </c>
      <c r="Q51" s="61" t="s">
        <v>343</v>
      </c>
      <c r="R51" s="61" t="s">
        <v>357</v>
      </c>
      <c r="S51" s="61" t="s">
        <v>361</v>
      </c>
      <c r="T51" s="61" t="s">
        <v>348</v>
      </c>
      <c r="U51" s="61" t="s">
        <v>358</v>
      </c>
      <c r="V51" s="105" t="s">
        <v>334</v>
      </c>
      <c r="W51" s="61" t="s">
        <v>364</v>
      </c>
      <c r="X51" s="61" t="s">
        <v>354</v>
      </c>
      <c r="Y51" s="61" t="s">
        <v>363</v>
      </c>
      <c r="Z51" s="61" t="s">
        <v>356</v>
      </c>
      <c r="AA51" s="61" t="s">
        <v>345</v>
      </c>
      <c r="AB51" s="61" t="s">
        <v>362</v>
      </c>
      <c r="AC51" s="61" t="s">
        <v>341</v>
      </c>
      <c r="AD51" s="61" t="s">
        <v>350</v>
      </c>
      <c r="AE51" s="61" t="s">
        <v>349</v>
      </c>
      <c r="AF51" s="61" t="s">
        <v>352</v>
      </c>
      <c r="AG51" s="61" t="s">
        <v>359</v>
      </c>
      <c r="AH51" s="61" t="s">
        <v>336</v>
      </c>
      <c r="AI51" s="61" t="s">
        <v>413</v>
      </c>
      <c r="AJ51" s="61" t="s">
        <v>347</v>
      </c>
      <c r="AK51" s="61" t="s">
        <v>338</v>
      </c>
      <c r="AL51" s="61" t="s">
        <v>353</v>
      </c>
      <c r="AM51" s="63"/>
      <c r="AN51" s="5" t="s">
        <v>118</v>
      </c>
    </row>
    <row r="52" spans="1:40" x14ac:dyDescent="0.2">
      <c r="A52" s="269" t="str">
        <f>A32</f>
        <v>全体(n = 1,616 )　　</v>
      </c>
      <c r="B52" s="224" t="str">
        <f>B32</f>
        <v>1,616</v>
      </c>
      <c r="C52" s="121">
        <v>340</v>
      </c>
      <c r="D52" s="122">
        <v>301</v>
      </c>
      <c r="E52" s="122">
        <v>291</v>
      </c>
      <c r="F52" s="122">
        <v>252</v>
      </c>
      <c r="G52" s="122">
        <v>223</v>
      </c>
      <c r="H52" s="122">
        <v>214</v>
      </c>
      <c r="I52" s="122">
        <v>191</v>
      </c>
      <c r="J52" s="122">
        <v>179</v>
      </c>
      <c r="K52" s="122">
        <v>179</v>
      </c>
      <c r="L52" s="122">
        <v>178</v>
      </c>
      <c r="M52" s="122">
        <v>176</v>
      </c>
      <c r="N52" s="122">
        <v>174</v>
      </c>
      <c r="O52" s="122">
        <v>159</v>
      </c>
      <c r="P52" s="122">
        <v>154</v>
      </c>
      <c r="Q52" s="122">
        <v>152</v>
      </c>
      <c r="R52" s="122">
        <v>141</v>
      </c>
      <c r="S52" s="122">
        <v>140</v>
      </c>
      <c r="T52" s="122">
        <v>139</v>
      </c>
      <c r="U52" s="122">
        <v>135</v>
      </c>
      <c r="V52" s="154">
        <v>115</v>
      </c>
      <c r="W52" s="122">
        <v>113</v>
      </c>
      <c r="X52" s="122">
        <v>110</v>
      </c>
      <c r="Y52" s="122">
        <v>109</v>
      </c>
      <c r="Z52" s="122">
        <v>108</v>
      </c>
      <c r="AA52" s="122">
        <v>105</v>
      </c>
      <c r="AB52" s="122">
        <v>83</v>
      </c>
      <c r="AC52" s="122">
        <v>72</v>
      </c>
      <c r="AD52" s="122">
        <v>72</v>
      </c>
      <c r="AE52" s="122">
        <v>66</v>
      </c>
      <c r="AF52" s="122">
        <v>57</v>
      </c>
      <c r="AG52" s="122">
        <v>55</v>
      </c>
      <c r="AH52" s="122">
        <v>53</v>
      </c>
      <c r="AI52" s="122">
        <v>53</v>
      </c>
      <c r="AJ52" s="122">
        <v>46</v>
      </c>
      <c r="AK52" s="122">
        <v>42</v>
      </c>
      <c r="AL52" s="122">
        <v>40</v>
      </c>
      <c r="AM52" s="124"/>
      <c r="AN52" s="5">
        <f>SUM(C52:AM52)</f>
        <v>5017</v>
      </c>
    </row>
    <row r="53" spans="1:40" x14ac:dyDescent="0.2">
      <c r="A53" s="270"/>
      <c r="B53" s="114">
        <f t="shared" ref="B53:B67" si="26">B33</f>
        <v>100</v>
      </c>
      <c r="C53" s="125">
        <v>21.03960396039604</v>
      </c>
      <c r="D53" s="126">
        <v>18.626237623762375</v>
      </c>
      <c r="E53" s="126">
        <v>18.007425742574256</v>
      </c>
      <c r="F53" s="126">
        <v>15.594059405940595</v>
      </c>
      <c r="G53" s="126">
        <v>13.79950495049505</v>
      </c>
      <c r="H53" s="126">
        <v>13.242574257425744</v>
      </c>
      <c r="I53" s="126">
        <v>11.819306930693068</v>
      </c>
      <c r="J53" s="126">
        <v>11.076732673267326</v>
      </c>
      <c r="K53" s="126">
        <v>11.076732673267326</v>
      </c>
      <c r="L53" s="126">
        <v>11.014851485148515</v>
      </c>
      <c r="M53" s="126">
        <v>10.891089108910892</v>
      </c>
      <c r="N53" s="126">
        <v>10.767326732673267</v>
      </c>
      <c r="O53" s="126">
        <v>9.8391089108910901</v>
      </c>
      <c r="P53" s="126">
        <v>9.5297029702970306</v>
      </c>
      <c r="Q53" s="126">
        <v>9.4059405940594054</v>
      </c>
      <c r="R53" s="126">
        <v>8.7252475247524739</v>
      </c>
      <c r="S53" s="126">
        <v>8.6633663366336631</v>
      </c>
      <c r="T53" s="126">
        <v>8.6014851485148505</v>
      </c>
      <c r="U53" s="126">
        <v>8.3539603960396036</v>
      </c>
      <c r="V53" s="142">
        <v>7.1163366336633658</v>
      </c>
      <c r="W53" s="126">
        <v>6.9925742574257432</v>
      </c>
      <c r="X53" s="126">
        <v>6.8069306930693072</v>
      </c>
      <c r="Y53" s="126">
        <v>6.7450495049504955</v>
      </c>
      <c r="Z53" s="126">
        <v>6.6831683168316838</v>
      </c>
      <c r="AA53" s="126">
        <v>6.4975247524752477</v>
      </c>
      <c r="AB53" s="126">
        <v>5.1361386138613856</v>
      </c>
      <c r="AC53" s="126">
        <v>4.455445544554455</v>
      </c>
      <c r="AD53" s="126">
        <v>4.455445544554455</v>
      </c>
      <c r="AE53" s="126">
        <v>4.0841584158415847</v>
      </c>
      <c r="AF53" s="126">
        <v>3.527227722772277</v>
      </c>
      <c r="AG53" s="126">
        <v>3.4034653465346536</v>
      </c>
      <c r="AH53" s="126">
        <v>3.2797029702970297</v>
      </c>
      <c r="AI53" s="126">
        <v>3.2797029702970297</v>
      </c>
      <c r="AJ53" s="126">
        <v>2.8465346534653468</v>
      </c>
      <c r="AK53" s="126">
        <v>2.5990099009900991</v>
      </c>
      <c r="AL53" s="126">
        <v>2.4752475247524752</v>
      </c>
      <c r="AM53" s="128"/>
      <c r="AN53" s="195"/>
    </row>
    <row r="54" spans="1:40" x14ac:dyDescent="0.2">
      <c r="A54" s="269" t="str">
        <f>A34</f>
        <v>18～19歳(n = 21 )　　</v>
      </c>
      <c r="B54" s="113">
        <f t="shared" si="26"/>
        <v>21</v>
      </c>
      <c r="C54" s="129">
        <v>4</v>
      </c>
      <c r="D54" s="130">
        <v>0</v>
      </c>
      <c r="E54" s="130">
        <v>3</v>
      </c>
      <c r="F54" s="130">
        <v>1</v>
      </c>
      <c r="G54" s="130">
        <v>1</v>
      </c>
      <c r="H54" s="130">
        <v>2</v>
      </c>
      <c r="I54" s="130">
        <v>2</v>
      </c>
      <c r="J54" s="130">
        <v>4</v>
      </c>
      <c r="K54" s="130">
        <v>3</v>
      </c>
      <c r="L54" s="130">
        <v>4</v>
      </c>
      <c r="M54" s="130">
        <v>3</v>
      </c>
      <c r="N54" s="130">
        <v>0</v>
      </c>
      <c r="O54" s="130">
        <v>1</v>
      </c>
      <c r="P54" s="130">
        <v>0</v>
      </c>
      <c r="Q54" s="130">
        <v>3</v>
      </c>
      <c r="R54" s="130">
        <v>1</v>
      </c>
      <c r="S54" s="130">
        <v>2</v>
      </c>
      <c r="T54" s="130">
        <v>0</v>
      </c>
      <c r="U54" s="130">
        <v>1</v>
      </c>
      <c r="V54" s="141">
        <v>1</v>
      </c>
      <c r="W54" s="130">
        <v>0</v>
      </c>
      <c r="X54" s="130">
        <v>0</v>
      </c>
      <c r="Y54" s="130">
        <v>0</v>
      </c>
      <c r="Z54" s="130">
        <v>1</v>
      </c>
      <c r="AA54" s="130">
        <v>2</v>
      </c>
      <c r="AB54" s="130">
        <v>0</v>
      </c>
      <c r="AC54" s="130">
        <v>1</v>
      </c>
      <c r="AD54" s="130">
        <v>1</v>
      </c>
      <c r="AE54" s="130">
        <v>1</v>
      </c>
      <c r="AF54" s="130">
        <v>1</v>
      </c>
      <c r="AG54" s="130">
        <v>0</v>
      </c>
      <c r="AH54" s="130">
        <v>1</v>
      </c>
      <c r="AI54" s="130">
        <v>2</v>
      </c>
      <c r="AJ54" s="130">
        <v>1</v>
      </c>
      <c r="AK54" s="130">
        <v>1</v>
      </c>
      <c r="AL54" s="130">
        <v>0</v>
      </c>
      <c r="AM54" s="131"/>
      <c r="AN54" s="5">
        <f>SUM(C54:AM54)</f>
        <v>48</v>
      </c>
    </row>
    <row r="55" spans="1:40" x14ac:dyDescent="0.2">
      <c r="A55" s="270"/>
      <c r="B55" s="114">
        <f t="shared" si="26"/>
        <v>1.2995049504950495</v>
      </c>
      <c r="C55" s="125">
        <v>19.047619047619047</v>
      </c>
      <c r="D55" s="126">
        <v>0</v>
      </c>
      <c r="E55" s="126">
        <v>14.285714285714285</v>
      </c>
      <c r="F55" s="126">
        <v>4.7619047619047619</v>
      </c>
      <c r="G55" s="126">
        <v>4.7619047619047619</v>
      </c>
      <c r="H55" s="126">
        <v>9.5238095238095237</v>
      </c>
      <c r="I55" s="126">
        <v>9.5238095238095237</v>
      </c>
      <c r="J55" s="126">
        <v>19.047619047619047</v>
      </c>
      <c r="K55" s="126">
        <v>14.285714285714285</v>
      </c>
      <c r="L55" s="126">
        <v>19.047619047619047</v>
      </c>
      <c r="M55" s="126">
        <v>14.285714285714285</v>
      </c>
      <c r="N55" s="126">
        <v>0</v>
      </c>
      <c r="O55" s="126">
        <v>4.7619047619047619</v>
      </c>
      <c r="P55" s="126">
        <v>0</v>
      </c>
      <c r="Q55" s="126">
        <v>14.285714285714285</v>
      </c>
      <c r="R55" s="126">
        <v>4.7619047619047619</v>
      </c>
      <c r="S55" s="126">
        <v>9.5238095238095237</v>
      </c>
      <c r="T55" s="126">
        <v>0</v>
      </c>
      <c r="U55" s="126">
        <v>4.7619047619047619</v>
      </c>
      <c r="V55" s="142">
        <v>4.7619047619047619</v>
      </c>
      <c r="W55" s="126">
        <v>0</v>
      </c>
      <c r="X55" s="126">
        <v>0</v>
      </c>
      <c r="Y55" s="126">
        <v>0</v>
      </c>
      <c r="Z55" s="126">
        <v>4.7619047619047619</v>
      </c>
      <c r="AA55" s="126">
        <v>9.5238095238095237</v>
      </c>
      <c r="AB55" s="126">
        <v>0</v>
      </c>
      <c r="AC55" s="126">
        <v>4.7619047619047619</v>
      </c>
      <c r="AD55" s="126">
        <v>4.7619047619047619</v>
      </c>
      <c r="AE55" s="126">
        <v>4.7619047619047619</v>
      </c>
      <c r="AF55" s="126">
        <v>4.7619047619047619</v>
      </c>
      <c r="AG55" s="126">
        <v>0</v>
      </c>
      <c r="AH55" s="126">
        <v>4.7619047619047619</v>
      </c>
      <c r="AI55" s="126">
        <v>9.5238095238095237</v>
      </c>
      <c r="AJ55" s="126">
        <v>4.7619047619047619</v>
      </c>
      <c r="AK55" s="126">
        <v>4.7619047619047619</v>
      </c>
      <c r="AL55" s="126">
        <v>0</v>
      </c>
      <c r="AM55" s="128"/>
      <c r="AN55" s="195"/>
    </row>
    <row r="56" spans="1:40" x14ac:dyDescent="0.2">
      <c r="A56" s="269" t="str">
        <f>A36</f>
        <v>20～29歳(n = 119 )　　</v>
      </c>
      <c r="B56" s="113">
        <f t="shared" si="26"/>
        <v>119</v>
      </c>
      <c r="C56" s="129">
        <v>34</v>
      </c>
      <c r="D56" s="130">
        <v>19</v>
      </c>
      <c r="E56" s="130">
        <v>32</v>
      </c>
      <c r="F56" s="130">
        <v>30</v>
      </c>
      <c r="G56" s="130">
        <v>9</v>
      </c>
      <c r="H56" s="130">
        <v>10</v>
      </c>
      <c r="I56" s="130">
        <v>14</v>
      </c>
      <c r="J56" s="130">
        <v>18</v>
      </c>
      <c r="K56" s="130">
        <v>19</v>
      </c>
      <c r="L56" s="130">
        <v>9</v>
      </c>
      <c r="M56" s="130">
        <v>14</v>
      </c>
      <c r="N56" s="130">
        <v>8</v>
      </c>
      <c r="O56" s="130">
        <v>11</v>
      </c>
      <c r="P56" s="130">
        <v>7</v>
      </c>
      <c r="Q56" s="130">
        <v>14</v>
      </c>
      <c r="R56" s="130">
        <v>12</v>
      </c>
      <c r="S56" s="130">
        <v>6</v>
      </c>
      <c r="T56" s="130">
        <v>8</v>
      </c>
      <c r="U56" s="130">
        <v>7</v>
      </c>
      <c r="V56" s="141">
        <v>9</v>
      </c>
      <c r="W56" s="130">
        <v>9</v>
      </c>
      <c r="X56" s="130">
        <v>10</v>
      </c>
      <c r="Y56" s="130">
        <v>4</v>
      </c>
      <c r="Z56" s="130">
        <v>10</v>
      </c>
      <c r="AA56" s="130">
        <v>7</v>
      </c>
      <c r="AB56" s="130">
        <v>6</v>
      </c>
      <c r="AC56" s="130">
        <v>4</v>
      </c>
      <c r="AD56" s="130">
        <v>4</v>
      </c>
      <c r="AE56" s="130">
        <v>2</v>
      </c>
      <c r="AF56" s="130">
        <v>6</v>
      </c>
      <c r="AG56" s="130">
        <v>3</v>
      </c>
      <c r="AH56" s="130">
        <v>2</v>
      </c>
      <c r="AI56" s="130">
        <v>3</v>
      </c>
      <c r="AJ56" s="130">
        <v>5</v>
      </c>
      <c r="AK56" s="130">
        <v>5</v>
      </c>
      <c r="AL56" s="130">
        <v>1</v>
      </c>
      <c r="AM56" s="131"/>
      <c r="AN56" s="5">
        <f>SUM(C56:AM56)</f>
        <v>371</v>
      </c>
    </row>
    <row r="57" spans="1:40" x14ac:dyDescent="0.2">
      <c r="A57" s="270"/>
      <c r="B57" s="114">
        <f t="shared" si="26"/>
        <v>7.3638613861386135</v>
      </c>
      <c r="C57" s="125">
        <v>28.571428571428569</v>
      </c>
      <c r="D57" s="126">
        <v>15.966386554621847</v>
      </c>
      <c r="E57" s="126">
        <v>26.890756302521009</v>
      </c>
      <c r="F57" s="126">
        <v>25.210084033613445</v>
      </c>
      <c r="G57" s="126">
        <v>7.5630252100840334</v>
      </c>
      <c r="H57" s="126">
        <v>8.4033613445378155</v>
      </c>
      <c r="I57" s="126">
        <v>11.76470588235294</v>
      </c>
      <c r="J57" s="126">
        <v>15.126050420168067</v>
      </c>
      <c r="K57" s="126">
        <v>15.966386554621847</v>
      </c>
      <c r="L57" s="126">
        <v>7.5630252100840334</v>
      </c>
      <c r="M57" s="126">
        <v>11.76470588235294</v>
      </c>
      <c r="N57" s="126">
        <v>6.7226890756302522</v>
      </c>
      <c r="O57" s="126">
        <v>9.2436974789915975</v>
      </c>
      <c r="P57" s="126">
        <v>5.8823529411764701</v>
      </c>
      <c r="Q57" s="126">
        <v>11.76470588235294</v>
      </c>
      <c r="R57" s="126">
        <v>10.084033613445378</v>
      </c>
      <c r="S57" s="126">
        <v>5.0420168067226889</v>
      </c>
      <c r="T57" s="126">
        <v>6.7226890756302522</v>
      </c>
      <c r="U57" s="126">
        <v>5.8823529411764701</v>
      </c>
      <c r="V57" s="142">
        <v>7.5630252100840334</v>
      </c>
      <c r="W57" s="126">
        <v>7.5630252100840334</v>
      </c>
      <c r="X57" s="126">
        <v>8.4033613445378155</v>
      </c>
      <c r="Y57" s="126">
        <v>3.3613445378151261</v>
      </c>
      <c r="Z57" s="126">
        <v>8.4033613445378155</v>
      </c>
      <c r="AA57" s="126">
        <v>5.8823529411764701</v>
      </c>
      <c r="AB57" s="126">
        <v>5.0420168067226889</v>
      </c>
      <c r="AC57" s="126">
        <v>3.3613445378151261</v>
      </c>
      <c r="AD57" s="126">
        <v>3.3613445378151261</v>
      </c>
      <c r="AE57" s="126">
        <v>1.680672268907563</v>
      </c>
      <c r="AF57" s="126">
        <v>5.0420168067226889</v>
      </c>
      <c r="AG57" s="126">
        <v>2.5210084033613445</v>
      </c>
      <c r="AH57" s="126">
        <v>1.680672268907563</v>
      </c>
      <c r="AI57" s="126">
        <v>2.5210084033613445</v>
      </c>
      <c r="AJ57" s="126">
        <v>4.2016806722689077</v>
      </c>
      <c r="AK57" s="126">
        <v>4.2016806722689077</v>
      </c>
      <c r="AL57" s="126">
        <v>0.84033613445378152</v>
      </c>
      <c r="AM57" s="128"/>
      <c r="AN57" s="195"/>
    </row>
    <row r="58" spans="1:40" x14ac:dyDescent="0.2">
      <c r="A58" s="269" t="str">
        <f>A38</f>
        <v>30～39歳(n = 196 )　　</v>
      </c>
      <c r="B58" s="113">
        <f t="shared" si="26"/>
        <v>196</v>
      </c>
      <c r="C58" s="129">
        <v>48</v>
      </c>
      <c r="D58" s="130">
        <v>23</v>
      </c>
      <c r="E58" s="130">
        <v>58</v>
      </c>
      <c r="F58" s="130">
        <v>56</v>
      </c>
      <c r="G58" s="130">
        <v>12</v>
      </c>
      <c r="H58" s="130">
        <v>21</v>
      </c>
      <c r="I58" s="130">
        <v>20</v>
      </c>
      <c r="J58" s="130">
        <v>33</v>
      </c>
      <c r="K58" s="130">
        <v>23</v>
      </c>
      <c r="L58" s="130">
        <v>21</v>
      </c>
      <c r="M58" s="130">
        <v>30</v>
      </c>
      <c r="N58" s="130">
        <v>17</v>
      </c>
      <c r="O58" s="130">
        <v>22</v>
      </c>
      <c r="P58" s="130">
        <v>16</v>
      </c>
      <c r="Q58" s="130">
        <v>23</v>
      </c>
      <c r="R58" s="130">
        <v>21</v>
      </c>
      <c r="S58" s="130">
        <v>11</v>
      </c>
      <c r="T58" s="130">
        <v>16</v>
      </c>
      <c r="U58" s="130">
        <v>22</v>
      </c>
      <c r="V58" s="141">
        <v>13</v>
      </c>
      <c r="W58" s="130">
        <v>19</v>
      </c>
      <c r="X58" s="130">
        <v>11</v>
      </c>
      <c r="Y58" s="130">
        <v>7</v>
      </c>
      <c r="Z58" s="130">
        <v>8</v>
      </c>
      <c r="AA58" s="130">
        <v>12</v>
      </c>
      <c r="AB58" s="130">
        <v>5</v>
      </c>
      <c r="AC58" s="130">
        <v>4</v>
      </c>
      <c r="AD58" s="130">
        <v>3</v>
      </c>
      <c r="AE58" s="130">
        <v>9</v>
      </c>
      <c r="AF58" s="130">
        <v>2</v>
      </c>
      <c r="AG58" s="130">
        <v>8</v>
      </c>
      <c r="AH58" s="130">
        <v>3</v>
      </c>
      <c r="AI58" s="130">
        <v>5</v>
      </c>
      <c r="AJ58" s="130">
        <v>4</v>
      </c>
      <c r="AK58" s="130">
        <v>1</v>
      </c>
      <c r="AL58" s="130">
        <v>9</v>
      </c>
      <c r="AM58" s="131"/>
      <c r="AN58" s="5">
        <f>SUM(C58:AM58)</f>
        <v>616</v>
      </c>
    </row>
    <row r="59" spans="1:40" x14ac:dyDescent="0.2">
      <c r="A59" s="270"/>
      <c r="B59" s="114">
        <f t="shared" si="26"/>
        <v>12.128712871287128</v>
      </c>
      <c r="C59" s="125">
        <v>24.489795918367346</v>
      </c>
      <c r="D59" s="126">
        <v>11.73469387755102</v>
      </c>
      <c r="E59" s="126">
        <v>29.591836734693878</v>
      </c>
      <c r="F59" s="126">
        <v>28.571428571428569</v>
      </c>
      <c r="G59" s="126">
        <v>6.1224489795918364</v>
      </c>
      <c r="H59" s="126">
        <v>10.714285714285714</v>
      </c>
      <c r="I59" s="126">
        <v>10.204081632653061</v>
      </c>
      <c r="J59" s="126">
        <v>16.836734693877549</v>
      </c>
      <c r="K59" s="126">
        <v>11.73469387755102</v>
      </c>
      <c r="L59" s="126">
        <v>10.714285714285714</v>
      </c>
      <c r="M59" s="126">
        <v>15.306122448979592</v>
      </c>
      <c r="N59" s="126">
        <v>8.6734693877551017</v>
      </c>
      <c r="O59" s="126">
        <v>11.224489795918368</v>
      </c>
      <c r="P59" s="126">
        <v>8.1632653061224492</v>
      </c>
      <c r="Q59" s="126">
        <v>11.73469387755102</v>
      </c>
      <c r="R59" s="126">
        <v>10.714285714285714</v>
      </c>
      <c r="S59" s="126">
        <v>5.6122448979591839</v>
      </c>
      <c r="T59" s="126">
        <v>8.1632653061224492</v>
      </c>
      <c r="U59" s="126">
        <v>11.224489795918368</v>
      </c>
      <c r="V59" s="142">
        <v>6.6326530612244898</v>
      </c>
      <c r="W59" s="126">
        <v>9.6938775510204085</v>
      </c>
      <c r="X59" s="126">
        <v>5.6122448979591839</v>
      </c>
      <c r="Y59" s="126">
        <v>3.5714285714285712</v>
      </c>
      <c r="Z59" s="126">
        <v>4.0816326530612246</v>
      </c>
      <c r="AA59" s="126">
        <v>6.1224489795918364</v>
      </c>
      <c r="AB59" s="126">
        <v>2.5510204081632653</v>
      </c>
      <c r="AC59" s="126">
        <v>2.0408163265306123</v>
      </c>
      <c r="AD59" s="126">
        <v>1.5306122448979591</v>
      </c>
      <c r="AE59" s="126">
        <v>4.591836734693878</v>
      </c>
      <c r="AF59" s="126">
        <v>1.0204081632653061</v>
      </c>
      <c r="AG59" s="126">
        <v>4.0816326530612246</v>
      </c>
      <c r="AH59" s="126">
        <v>1.5306122448979591</v>
      </c>
      <c r="AI59" s="126">
        <v>2.5510204081632653</v>
      </c>
      <c r="AJ59" s="126">
        <v>2.0408163265306123</v>
      </c>
      <c r="AK59" s="126">
        <v>0.51020408163265307</v>
      </c>
      <c r="AL59" s="126">
        <v>4.591836734693878</v>
      </c>
      <c r="AM59" s="128"/>
      <c r="AN59" s="195"/>
    </row>
    <row r="60" spans="1:40" x14ac:dyDescent="0.2">
      <c r="A60" s="269" t="str">
        <f>A40</f>
        <v>40～49歳(n = 281 )　　</v>
      </c>
      <c r="B60" s="113">
        <f t="shared" si="26"/>
        <v>281</v>
      </c>
      <c r="C60" s="129">
        <v>56</v>
      </c>
      <c r="D60" s="130">
        <v>54</v>
      </c>
      <c r="E60" s="130">
        <v>60</v>
      </c>
      <c r="F60" s="130">
        <v>69</v>
      </c>
      <c r="G60" s="130">
        <v>31</v>
      </c>
      <c r="H60" s="130">
        <v>43</v>
      </c>
      <c r="I60" s="130">
        <v>33</v>
      </c>
      <c r="J60" s="130">
        <v>44</v>
      </c>
      <c r="K60" s="130">
        <v>26</v>
      </c>
      <c r="L60" s="130">
        <v>40</v>
      </c>
      <c r="M60" s="130">
        <v>35</v>
      </c>
      <c r="N60" s="130">
        <v>25</v>
      </c>
      <c r="O60" s="130">
        <v>39</v>
      </c>
      <c r="P60" s="130">
        <v>23</v>
      </c>
      <c r="Q60" s="130">
        <v>30</v>
      </c>
      <c r="R60" s="130">
        <v>45</v>
      </c>
      <c r="S60" s="130">
        <v>25</v>
      </c>
      <c r="T60" s="130">
        <v>33</v>
      </c>
      <c r="U60" s="130">
        <v>34</v>
      </c>
      <c r="V60" s="141">
        <v>16</v>
      </c>
      <c r="W60" s="130">
        <v>18</v>
      </c>
      <c r="X60" s="130">
        <v>23</v>
      </c>
      <c r="Y60" s="130">
        <v>12</v>
      </c>
      <c r="Z60" s="130">
        <v>15</v>
      </c>
      <c r="AA60" s="130">
        <v>20</v>
      </c>
      <c r="AB60" s="130">
        <v>19</v>
      </c>
      <c r="AC60" s="130">
        <v>19</v>
      </c>
      <c r="AD60" s="130">
        <v>6</v>
      </c>
      <c r="AE60" s="130">
        <v>10</v>
      </c>
      <c r="AF60" s="130">
        <v>11</v>
      </c>
      <c r="AG60" s="130">
        <v>11</v>
      </c>
      <c r="AH60" s="130">
        <v>4</v>
      </c>
      <c r="AI60" s="130">
        <v>12</v>
      </c>
      <c r="AJ60" s="130">
        <v>3</v>
      </c>
      <c r="AK60" s="130">
        <v>10</v>
      </c>
      <c r="AL60" s="130">
        <v>10</v>
      </c>
      <c r="AM60" s="131"/>
      <c r="AN60" s="5">
        <f>SUM(C60:AM60)</f>
        <v>964</v>
      </c>
    </row>
    <row r="61" spans="1:40" x14ac:dyDescent="0.2">
      <c r="A61" s="270"/>
      <c r="B61" s="114">
        <f t="shared" si="26"/>
        <v>17.388613861386137</v>
      </c>
      <c r="C61" s="125">
        <v>19.9288256227758</v>
      </c>
      <c r="D61" s="126">
        <v>19.217081850533805</v>
      </c>
      <c r="E61" s="126">
        <v>21.352313167259787</v>
      </c>
      <c r="F61" s="126">
        <v>24.555160142348754</v>
      </c>
      <c r="G61" s="126">
        <v>11.032028469750891</v>
      </c>
      <c r="H61" s="126">
        <v>15.302491103202847</v>
      </c>
      <c r="I61" s="126">
        <v>11.743772241992882</v>
      </c>
      <c r="J61" s="126">
        <v>15.658362989323843</v>
      </c>
      <c r="K61" s="126">
        <v>9.252669039145907</v>
      </c>
      <c r="L61" s="126">
        <v>14.23487544483986</v>
      </c>
      <c r="M61" s="126">
        <v>12.455516014234876</v>
      </c>
      <c r="N61" s="126">
        <v>8.8967971530249113</v>
      </c>
      <c r="O61" s="126">
        <v>13.87900355871886</v>
      </c>
      <c r="P61" s="126">
        <v>8.185053380782918</v>
      </c>
      <c r="Q61" s="126">
        <v>10.676156583629894</v>
      </c>
      <c r="R61" s="126">
        <v>16.014234875444842</v>
      </c>
      <c r="S61" s="126">
        <v>8.8967971530249113</v>
      </c>
      <c r="T61" s="126">
        <v>11.743772241992882</v>
      </c>
      <c r="U61" s="126">
        <v>12.099644128113878</v>
      </c>
      <c r="V61" s="142">
        <v>5.6939501779359425</v>
      </c>
      <c r="W61" s="126">
        <v>6.4056939501779357</v>
      </c>
      <c r="X61" s="126">
        <v>8.185053380782918</v>
      </c>
      <c r="Y61" s="126">
        <v>4.2704626334519578</v>
      </c>
      <c r="Z61" s="126">
        <v>5.3380782918149468</v>
      </c>
      <c r="AA61" s="126">
        <v>7.1174377224199299</v>
      </c>
      <c r="AB61" s="126">
        <v>6.7615658362989333</v>
      </c>
      <c r="AC61" s="126">
        <v>6.7615658362989333</v>
      </c>
      <c r="AD61" s="126">
        <v>2.1352313167259789</v>
      </c>
      <c r="AE61" s="126">
        <v>3.5587188612099649</v>
      </c>
      <c r="AF61" s="126">
        <v>3.9145907473309607</v>
      </c>
      <c r="AG61" s="126">
        <v>3.9145907473309607</v>
      </c>
      <c r="AH61" s="126">
        <v>1.4234875444839856</v>
      </c>
      <c r="AI61" s="126">
        <v>4.2704626334519578</v>
      </c>
      <c r="AJ61" s="126">
        <v>1.0676156583629894</v>
      </c>
      <c r="AK61" s="126">
        <v>3.5587188612099649</v>
      </c>
      <c r="AL61" s="126">
        <v>3.5587188612099649</v>
      </c>
      <c r="AM61" s="128"/>
      <c r="AN61" s="195"/>
    </row>
    <row r="62" spans="1:40" x14ac:dyDescent="0.2">
      <c r="A62" s="269" t="str">
        <f>A42</f>
        <v>50～59歳(n = 320 )　　</v>
      </c>
      <c r="B62" s="113">
        <f t="shared" si="26"/>
        <v>320</v>
      </c>
      <c r="C62" s="129">
        <v>64</v>
      </c>
      <c r="D62" s="130">
        <v>64</v>
      </c>
      <c r="E62" s="130">
        <v>44</v>
      </c>
      <c r="F62" s="130">
        <v>31</v>
      </c>
      <c r="G62" s="130">
        <v>44</v>
      </c>
      <c r="H62" s="130">
        <v>45</v>
      </c>
      <c r="I62" s="130">
        <v>40</v>
      </c>
      <c r="J62" s="130">
        <v>30</v>
      </c>
      <c r="K62" s="130">
        <v>34</v>
      </c>
      <c r="L62" s="130">
        <v>32</v>
      </c>
      <c r="M62" s="130">
        <v>34</v>
      </c>
      <c r="N62" s="130">
        <v>36</v>
      </c>
      <c r="O62" s="130">
        <v>26</v>
      </c>
      <c r="P62" s="130">
        <v>35</v>
      </c>
      <c r="Q62" s="130">
        <v>36</v>
      </c>
      <c r="R62" s="130">
        <v>24</v>
      </c>
      <c r="S62" s="130">
        <v>25</v>
      </c>
      <c r="T62" s="130">
        <v>25</v>
      </c>
      <c r="U62" s="130">
        <v>24</v>
      </c>
      <c r="V62" s="141">
        <v>20</v>
      </c>
      <c r="W62" s="130">
        <v>21</v>
      </c>
      <c r="X62" s="130">
        <v>19</v>
      </c>
      <c r="Y62" s="130">
        <v>24</v>
      </c>
      <c r="Z62" s="130">
        <v>19</v>
      </c>
      <c r="AA62" s="130">
        <v>17</v>
      </c>
      <c r="AB62" s="130">
        <v>17</v>
      </c>
      <c r="AC62" s="130">
        <v>19</v>
      </c>
      <c r="AD62" s="130">
        <v>13</v>
      </c>
      <c r="AE62" s="130">
        <v>16</v>
      </c>
      <c r="AF62" s="130">
        <v>15</v>
      </c>
      <c r="AG62" s="130">
        <v>5</v>
      </c>
      <c r="AH62" s="130">
        <v>10</v>
      </c>
      <c r="AI62" s="130">
        <v>15</v>
      </c>
      <c r="AJ62" s="130">
        <v>10</v>
      </c>
      <c r="AK62" s="130">
        <v>6</v>
      </c>
      <c r="AL62" s="130">
        <v>7</v>
      </c>
      <c r="AM62" s="131"/>
      <c r="AN62" s="5">
        <f>SUM(C62:AM62)</f>
        <v>946</v>
      </c>
    </row>
    <row r="63" spans="1:40" x14ac:dyDescent="0.2">
      <c r="A63" s="270"/>
      <c r="B63" s="114">
        <f t="shared" si="26"/>
        <v>19.801980198019802</v>
      </c>
      <c r="C63" s="125">
        <v>20</v>
      </c>
      <c r="D63" s="126">
        <v>20</v>
      </c>
      <c r="E63" s="126">
        <v>13.750000000000002</v>
      </c>
      <c r="F63" s="126">
        <v>9.6875</v>
      </c>
      <c r="G63" s="126">
        <v>13.750000000000002</v>
      </c>
      <c r="H63" s="126">
        <v>14.0625</v>
      </c>
      <c r="I63" s="126">
        <v>12.5</v>
      </c>
      <c r="J63" s="126">
        <v>9.375</v>
      </c>
      <c r="K63" s="126">
        <v>10.625</v>
      </c>
      <c r="L63" s="126">
        <v>10</v>
      </c>
      <c r="M63" s="126">
        <v>10.625</v>
      </c>
      <c r="N63" s="126">
        <v>11.25</v>
      </c>
      <c r="O63" s="126">
        <v>8.125</v>
      </c>
      <c r="P63" s="126">
        <v>10.9375</v>
      </c>
      <c r="Q63" s="126">
        <v>11.25</v>
      </c>
      <c r="R63" s="126">
        <v>7.5</v>
      </c>
      <c r="S63" s="126">
        <v>7.8125</v>
      </c>
      <c r="T63" s="126">
        <v>7.8125</v>
      </c>
      <c r="U63" s="126">
        <v>7.5</v>
      </c>
      <c r="V63" s="142">
        <v>6.25</v>
      </c>
      <c r="W63" s="126">
        <v>6.5625</v>
      </c>
      <c r="X63" s="126">
        <v>5.9375</v>
      </c>
      <c r="Y63" s="126">
        <v>7.5</v>
      </c>
      <c r="Z63" s="126">
        <v>5.9375</v>
      </c>
      <c r="AA63" s="126">
        <v>5.3125</v>
      </c>
      <c r="AB63" s="126">
        <v>5.3125</v>
      </c>
      <c r="AC63" s="126">
        <v>5.9375</v>
      </c>
      <c r="AD63" s="126">
        <v>4.0625</v>
      </c>
      <c r="AE63" s="126">
        <v>5</v>
      </c>
      <c r="AF63" s="126">
        <v>4.6875</v>
      </c>
      <c r="AG63" s="126">
        <v>1.5625</v>
      </c>
      <c r="AH63" s="126">
        <v>3.125</v>
      </c>
      <c r="AI63" s="126">
        <v>4.6875</v>
      </c>
      <c r="AJ63" s="126">
        <v>3.125</v>
      </c>
      <c r="AK63" s="126">
        <v>1.875</v>
      </c>
      <c r="AL63" s="126">
        <v>2.1875</v>
      </c>
      <c r="AM63" s="128"/>
      <c r="AN63" s="195"/>
    </row>
    <row r="64" spans="1:40" x14ac:dyDescent="0.2">
      <c r="A64" s="269" t="str">
        <f>A44</f>
        <v>60～69歳(n = 352 )　　</v>
      </c>
      <c r="B64" s="113">
        <f t="shared" si="26"/>
        <v>352</v>
      </c>
      <c r="C64" s="129">
        <v>62</v>
      </c>
      <c r="D64" s="130">
        <v>74</v>
      </c>
      <c r="E64" s="130">
        <v>48</v>
      </c>
      <c r="F64" s="130">
        <v>37</v>
      </c>
      <c r="G64" s="130">
        <v>62</v>
      </c>
      <c r="H64" s="130">
        <v>51</v>
      </c>
      <c r="I64" s="130">
        <v>49</v>
      </c>
      <c r="J64" s="130">
        <v>32</v>
      </c>
      <c r="K64" s="130">
        <v>42</v>
      </c>
      <c r="L64" s="130">
        <v>39</v>
      </c>
      <c r="M64" s="130">
        <v>32</v>
      </c>
      <c r="N64" s="130">
        <v>49</v>
      </c>
      <c r="O64" s="130">
        <v>30</v>
      </c>
      <c r="P64" s="130">
        <v>40</v>
      </c>
      <c r="Q64" s="130">
        <v>32</v>
      </c>
      <c r="R64" s="130">
        <v>18</v>
      </c>
      <c r="S64" s="130">
        <v>39</v>
      </c>
      <c r="T64" s="130">
        <v>32</v>
      </c>
      <c r="U64" s="130">
        <v>27</v>
      </c>
      <c r="V64" s="141">
        <v>30</v>
      </c>
      <c r="W64" s="130">
        <v>25</v>
      </c>
      <c r="X64" s="130">
        <v>26</v>
      </c>
      <c r="Y64" s="130">
        <v>32</v>
      </c>
      <c r="Z64" s="130">
        <v>33</v>
      </c>
      <c r="AA64" s="130">
        <v>26</v>
      </c>
      <c r="AB64" s="130">
        <v>16</v>
      </c>
      <c r="AC64" s="130">
        <v>10</v>
      </c>
      <c r="AD64" s="130">
        <v>20</v>
      </c>
      <c r="AE64" s="130">
        <v>12</v>
      </c>
      <c r="AF64" s="130">
        <v>12</v>
      </c>
      <c r="AG64" s="130">
        <v>16</v>
      </c>
      <c r="AH64" s="130">
        <v>14</v>
      </c>
      <c r="AI64" s="130">
        <v>11</v>
      </c>
      <c r="AJ64" s="130">
        <v>9</v>
      </c>
      <c r="AK64" s="130">
        <v>4</v>
      </c>
      <c r="AL64" s="130">
        <v>4</v>
      </c>
      <c r="AM64" s="131"/>
      <c r="AN64" s="5">
        <f>SUM(C64:AM64)</f>
        <v>1095</v>
      </c>
    </row>
    <row r="65" spans="1:40" x14ac:dyDescent="0.2">
      <c r="A65" s="270"/>
      <c r="B65" s="114">
        <f t="shared" si="26"/>
        <v>21.782178217821784</v>
      </c>
      <c r="C65" s="125">
        <v>17.613636363636363</v>
      </c>
      <c r="D65" s="126">
        <v>21.022727272727273</v>
      </c>
      <c r="E65" s="126">
        <v>13.636363636363635</v>
      </c>
      <c r="F65" s="126">
        <v>10.511363636363637</v>
      </c>
      <c r="G65" s="126">
        <v>17.613636363636363</v>
      </c>
      <c r="H65" s="126">
        <v>14.488636363636365</v>
      </c>
      <c r="I65" s="126">
        <v>13.920454545454545</v>
      </c>
      <c r="J65" s="126">
        <v>9.0909090909090917</v>
      </c>
      <c r="K65" s="126">
        <v>11.931818181818182</v>
      </c>
      <c r="L65" s="126">
        <v>11.079545454545455</v>
      </c>
      <c r="M65" s="126">
        <v>9.0909090909090917</v>
      </c>
      <c r="N65" s="126">
        <v>13.920454545454545</v>
      </c>
      <c r="O65" s="126">
        <v>8.5227272727272716</v>
      </c>
      <c r="P65" s="126">
        <v>11.363636363636363</v>
      </c>
      <c r="Q65" s="126">
        <v>9.0909090909090917</v>
      </c>
      <c r="R65" s="126">
        <v>5.1136363636363642</v>
      </c>
      <c r="S65" s="126">
        <v>11.079545454545455</v>
      </c>
      <c r="T65" s="126">
        <v>9.0909090909090917</v>
      </c>
      <c r="U65" s="126">
        <v>7.6704545454545459</v>
      </c>
      <c r="V65" s="142">
        <v>8.5227272727272716</v>
      </c>
      <c r="W65" s="126">
        <v>7.1022727272727275</v>
      </c>
      <c r="X65" s="126">
        <v>7.3863636363636367</v>
      </c>
      <c r="Y65" s="126">
        <v>9.0909090909090917</v>
      </c>
      <c r="Z65" s="126">
        <v>9.375</v>
      </c>
      <c r="AA65" s="126">
        <v>7.3863636363636367</v>
      </c>
      <c r="AB65" s="126">
        <v>4.5454545454545459</v>
      </c>
      <c r="AC65" s="126">
        <v>2.8409090909090908</v>
      </c>
      <c r="AD65" s="126">
        <v>5.6818181818181817</v>
      </c>
      <c r="AE65" s="126">
        <v>3.4090909090909087</v>
      </c>
      <c r="AF65" s="126">
        <v>3.4090909090909087</v>
      </c>
      <c r="AG65" s="126">
        <v>4.5454545454545459</v>
      </c>
      <c r="AH65" s="126">
        <v>3.9772727272727271</v>
      </c>
      <c r="AI65" s="126">
        <v>3.125</v>
      </c>
      <c r="AJ65" s="126">
        <v>2.5568181818181821</v>
      </c>
      <c r="AK65" s="126">
        <v>1.1363636363636365</v>
      </c>
      <c r="AL65" s="126">
        <v>1.1363636363636365</v>
      </c>
      <c r="AM65" s="128"/>
      <c r="AN65" s="195"/>
    </row>
    <row r="66" spans="1:40" x14ac:dyDescent="0.2">
      <c r="A66" s="269" t="str">
        <f>A46</f>
        <v>70歳以上(n = 315 )　　</v>
      </c>
      <c r="B66" s="113">
        <f t="shared" si="26"/>
        <v>315</v>
      </c>
      <c r="C66" s="129">
        <v>70</v>
      </c>
      <c r="D66" s="130">
        <v>67</v>
      </c>
      <c r="E66" s="130">
        <v>46</v>
      </c>
      <c r="F66" s="130">
        <v>28</v>
      </c>
      <c r="G66" s="130">
        <v>60</v>
      </c>
      <c r="H66" s="130">
        <v>40</v>
      </c>
      <c r="I66" s="130">
        <v>33</v>
      </c>
      <c r="J66" s="130">
        <v>17</v>
      </c>
      <c r="K66" s="130">
        <v>31</v>
      </c>
      <c r="L66" s="130">
        <v>33</v>
      </c>
      <c r="M66" s="130">
        <v>28</v>
      </c>
      <c r="N66" s="130">
        <v>39</v>
      </c>
      <c r="O66" s="130">
        <v>29</v>
      </c>
      <c r="P66" s="130">
        <v>30</v>
      </c>
      <c r="Q66" s="130">
        <v>14</v>
      </c>
      <c r="R66" s="130">
        <v>19</v>
      </c>
      <c r="S66" s="130">
        <v>32</v>
      </c>
      <c r="T66" s="130">
        <v>25</v>
      </c>
      <c r="U66" s="130">
        <v>20</v>
      </c>
      <c r="V66" s="141">
        <v>26</v>
      </c>
      <c r="W66" s="130">
        <v>21</v>
      </c>
      <c r="X66" s="130">
        <v>19</v>
      </c>
      <c r="Y66" s="130">
        <v>30</v>
      </c>
      <c r="Z66" s="130">
        <v>22</v>
      </c>
      <c r="AA66" s="130">
        <v>20</v>
      </c>
      <c r="AB66" s="130">
        <v>20</v>
      </c>
      <c r="AC66" s="130">
        <v>14</v>
      </c>
      <c r="AD66" s="130">
        <v>25</v>
      </c>
      <c r="AE66" s="130">
        <v>15</v>
      </c>
      <c r="AF66" s="130">
        <v>9</v>
      </c>
      <c r="AG66" s="130">
        <v>12</v>
      </c>
      <c r="AH66" s="130">
        <v>19</v>
      </c>
      <c r="AI66" s="130">
        <v>5</v>
      </c>
      <c r="AJ66" s="130">
        <v>14</v>
      </c>
      <c r="AK66" s="130">
        <v>15</v>
      </c>
      <c r="AL66" s="130">
        <v>8</v>
      </c>
      <c r="AM66" s="131"/>
      <c r="AN66" s="5">
        <f>SUM(C66:AM66)</f>
        <v>955</v>
      </c>
    </row>
    <row r="67" spans="1:40" x14ac:dyDescent="0.2">
      <c r="A67" s="270"/>
      <c r="B67" s="114">
        <f t="shared" si="26"/>
        <v>19.492574257425744</v>
      </c>
      <c r="C67" s="125">
        <v>22.222222222222221</v>
      </c>
      <c r="D67" s="126">
        <v>21.269841269841269</v>
      </c>
      <c r="E67" s="126">
        <v>14.603174603174605</v>
      </c>
      <c r="F67" s="126">
        <v>8.8888888888888893</v>
      </c>
      <c r="G67" s="126">
        <v>19.047619047619047</v>
      </c>
      <c r="H67" s="126">
        <v>12.698412698412698</v>
      </c>
      <c r="I67" s="126">
        <v>10.476190476190476</v>
      </c>
      <c r="J67" s="126">
        <v>5.3968253968253972</v>
      </c>
      <c r="K67" s="126">
        <v>9.8412698412698418</v>
      </c>
      <c r="L67" s="126">
        <v>10.476190476190476</v>
      </c>
      <c r="M67" s="126">
        <v>8.8888888888888893</v>
      </c>
      <c r="N67" s="126">
        <v>12.380952380952381</v>
      </c>
      <c r="O67" s="126">
        <v>9.2063492063492074</v>
      </c>
      <c r="P67" s="126">
        <v>9.5238095238095237</v>
      </c>
      <c r="Q67" s="126">
        <v>4.4444444444444446</v>
      </c>
      <c r="R67" s="126">
        <v>6.0317460317460316</v>
      </c>
      <c r="S67" s="126">
        <v>10.158730158730158</v>
      </c>
      <c r="T67" s="126">
        <v>7.9365079365079358</v>
      </c>
      <c r="U67" s="126">
        <v>6.3492063492063489</v>
      </c>
      <c r="V67" s="142">
        <v>8.2539682539682531</v>
      </c>
      <c r="W67" s="126">
        <v>6.666666666666667</v>
      </c>
      <c r="X67" s="126">
        <v>6.0317460317460316</v>
      </c>
      <c r="Y67" s="126">
        <v>9.5238095238095237</v>
      </c>
      <c r="Z67" s="126">
        <v>6.9841269841269842</v>
      </c>
      <c r="AA67" s="126">
        <v>6.3492063492063489</v>
      </c>
      <c r="AB67" s="126">
        <v>6.3492063492063489</v>
      </c>
      <c r="AC67" s="126">
        <v>4.4444444444444446</v>
      </c>
      <c r="AD67" s="126">
        <v>7.9365079365079358</v>
      </c>
      <c r="AE67" s="126">
        <v>4.7619047619047619</v>
      </c>
      <c r="AF67" s="126">
        <v>2.8571428571428572</v>
      </c>
      <c r="AG67" s="126">
        <v>3.8095238095238098</v>
      </c>
      <c r="AH67" s="126">
        <v>6.0317460317460316</v>
      </c>
      <c r="AI67" s="126">
        <v>1.5873015873015872</v>
      </c>
      <c r="AJ67" s="126">
        <v>4.4444444444444446</v>
      </c>
      <c r="AK67" s="126">
        <v>4.7619047619047619</v>
      </c>
      <c r="AL67" s="126">
        <v>2.5396825396825395</v>
      </c>
      <c r="AM67" s="128"/>
      <c r="AN67" s="195"/>
    </row>
    <row r="68" spans="1:40" s="186" customFormat="1" x14ac:dyDescent="0.2">
      <c r="A68" s="184"/>
      <c r="B68" s="182"/>
      <c r="C68" s="182">
        <v>1</v>
      </c>
      <c r="D68" s="182">
        <v>2</v>
      </c>
      <c r="E68" s="182">
        <v>3</v>
      </c>
      <c r="F68" s="182">
        <v>4</v>
      </c>
      <c r="G68" s="182">
        <v>5</v>
      </c>
      <c r="H68" s="182">
        <v>6</v>
      </c>
      <c r="I68" s="182">
        <v>7</v>
      </c>
      <c r="J68" s="182">
        <v>8</v>
      </c>
      <c r="K68" s="182">
        <v>8</v>
      </c>
      <c r="L68" s="182">
        <v>10</v>
      </c>
      <c r="M68" s="182">
        <v>11</v>
      </c>
      <c r="N68" s="182">
        <v>12</v>
      </c>
      <c r="O68" s="182">
        <v>13</v>
      </c>
      <c r="P68" s="182">
        <v>14</v>
      </c>
      <c r="Q68" s="182">
        <v>15</v>
      </c>
      <c r="R68" s="182">
        <v>16</v>
      </c>
      <c r="S68" s="182">
        <v>17</v>
      </c>
      <c r="T68" s="182">
        <v>18</v>
      </c>
      <c r="U68" s="182">
        <v>19</v>
      </c>
      <c r="V68" s="182">
        <v>20</v>
      </c>
      <c r="W68" s="182">
        <v>21</v>
      </c>
      <c r="X68" s="182">
        <v>22</v>
      </c>
      <c r="Y68" s="182">
        <v>23</v>
      </c>
      <c r="Z68" s="182">
        <v>24</v>
      </c>
      <c r="AA68" s="182">
        <v>25</v>
      </c>
      <c r="AB68" s="182">
        <v>26</v>
      </c>
      <c r="AC68" s="182">
        <v>27</v>
      </c>
      <c r="AD68" s="182">
        <v>27</v>
      </c>
      <c r="AE68" s="182">
        <v>29</v>
      </c>
      <c r="AF68" s="182">
        <v>30</v>
      </c>
      <c r="AG68" s="182">
        <v>31</v>
      </c>
      <c r="AH68" s="182">
        <v>32</v>
      </c>
      <c r="AI68" s="182">
        <v>32</v>
      </c>
      <c r="AJ68" s="185">
        <v>34</v>
      </c>
      <c r="AK68" s="185">
        <v>35</v>
      </c>
      <c r="AL68" s="185">
        <v>36</v>
      </c>
      <c r="AM68" s="185">
        <v>37</v>
      </c>
      <c r="AN68" s="182">
        <f>SUM(C68:AM68)</f>
        <v>700</v>
      </c>
    </row>
    <row r="69" spans="1:40" x14ac:dyDescent="0.2">
      <c r="A69" s="26" t="s">
        <v>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40" x14ac:dyDescent="0.2">
      <c r="A70" s="6" t="s">
        <v>370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O70" s="172">
        <v>1</v>
      </c>
      <c r="P70" s="172">
        <v>2</v>
      </c>
      <c r="Q70" s="172">
        <v>3</v>
      </c>
      <c r="R70" s="172">
        <v>4</v>
      </c>
      <c r="S70" s="172">
        <v>5</v>
      </c>
      <c r="T70" s="172">
        <v>6</v>
      </c>
      <c r="U70" s="172">
        <v>7</v>
      </c>
      <c r="V70" s="172">
        <v>8</v>
      </c>
      <c r="W70" s="172">
        <v>9</v>
      </c>
      <c r="X70" s="172">
        <v>10</v>
      </c>
    </row>
    <row r="71" spans="1:40" ht="24" customHeight="1" x14ac:dyDescent="0.2">
      <c r="A71" s="12" t="str">
        <f>A31</f>
        <v>【年代別】</v>
      </c>
      <c r="B71" s="59" t="str">
        <f>B22</f>
        <v>調査数</v>
      </c>
      <c r="C71" s="60" t="str">
        <f t="shared" ref="C71:L71" si="27">C51</f>
        <v>若者の県内定着</v>
      </c>
      <c r="D71" s="61" t="str">
        <f t="shared" si="27"/>
        <v>公共交通の充実</v>
      </c>
      <c r="E71" s="61" t="str">
        <f t="shared" si="27"/>
        <v>少子化対策</v>
      </c>
      <c r="F71" s="61" t="str">
        <f t="shared" si="27"/>
        <v>子育て支援</v>
      </c>
      <c r="G71" s="61" t="str">
        <f t="shared" si="27"/>
        <v>高齢者福祉</v>
      </c>
      <c r="H71" s="61" t="str">
        <f t="shared" si="27"/>
        <v>地域医療の確保</v>
      </c>
      <c r="I71" s="62" t="str">
        <f t="shared" si="27"/>
        <v>防災対策</v>
      </c>
      <c r="J71" s="61" t="str">
        <f t="shared" si="27"/>
        <v>労働環境改善</v>
      </c>
      <c r="K71" s="62" t="str">
        <f t="shared" si="27"/>
        <v>県外からの移住・定住の推進</v>
      </c>
      <c r="L71" s="63" t="str">
        <f t="shared" si="27"/>
        <v>女性の活躍推進</v>
      </c>
      <c r="M71" s="44" t="s">
        <v>32</v>
      </c>
      <c r="N71" s="12" t="str">
        <f>A71</f>
        <v>【年代別】</v>
      </c>
      <c r="O71" s="60" t="str">
        <f t="shared" ref="O71:X71" si="28">C71</f>
        <v>若者の県内定着</v>
      </c>
      <c r="P71" s="61" t="str">
        <f t="shared" si="28"/>
        <v>公共交通の充実</v>
      </c>
      <c r="Q71" s="61" t="str">
        <f t="shared" si="28"/>
        <v>少子化対策</v>
      </c>
      <c r="R71" s="61" t="str">
        <f t="shared" si="28"/>
        <v>子育て支援</v>
      </c>
      <c r="S71" s="61" t="str">
        <f t="shared" si="28"/>
        <v>高齢者福祉</v>
      </c>
      <c r="T71" s="61" t="str">
        <f t="shared" si="28"/>
        <v>地域医療の確保</v>
      </c>
      <c r="U71" s="61" t="str">
        <f t="shared" si="28"/>
        <v>防災対策</v>
      </c>
      <c r="V71" s="61" t="str">
        <f t="shared" si="28"/>
        <v>労働環境改善</v>
      </c>
      <c r="W71" s="62" t="str">
        <f t="shared" si="28"/>
        <v>県外からの移住・定住の推進</v>
      </c>
      <c r="X71" s="63" t="str">
        <f t="shared" si="28"/>
        <v>女性の活躍推進</v>
      </c>
    </row>
    <row r="72" spans="1:40" ht="12.75" customHeight="1" x14ac:dyDescent="0.2">
      <c r="A72" s="269" t="str">
        <f>A32</f>
        <v>全体(n = 1,616 )　　</v>
      </c>
      <c r="B72" s="224" t="str">
        <f t="shared" ref="B72:B87" si="29">B32</f>
        <v>1,616</v>
      </c>
      <c r="C72" s="121">
        <f t="shared" ref="C72:L72" si="30">C52</f>
        <v>340</v>
      </c>
      <c r="D72" s="122">
        <f t="shared" si="30"/>
        <v>301</v>
      </c>
      <c r="E72" s="122">
        <f t="shared" si="30"/>
        <v>291</v>
      </c>
      <c r="F72" s="122">
        <f t="shared" si="30"/>
        <v>252</v>
      </c>
      <c r="G72" s="122">
        <f t="shared" si="30"/>
        <v>223</v>
      </c>
      <c r="H72" s="122">
        <f t="shared" si="30"/>
        <v>214</v>
      </c>
      <c r="I72" s="123">
        <f t="shared" si="30"/>
        <v>191</v>
      </c>
      <c r="J72" s="122">
        <f t="shared" si="30"/>
        <v>179</v>
      </c>
      <c r="K72" s="123">
        <f t="shared" si="30"/>
        <v>179</v>
      </c>
      <c r="L72" s="124">
        <f t="shared" si="30"/>
        <v>178</v>
      </c>
      <c r="N72" s="93" t="str">
        <f>A74</f>
        <v>18～19歳(n = 21 )　　</v>
      </c>
      <c r="O72" s="84">
        <f t="shared" ref="O72:X72" si="31">C75</f>
        <v>19.047619047619047</v>
      </c>
      <c r="P72" s="85">
        <f t="shared" si="31"/>
        <v>0</v>
      </c>
      <c r="Q72" s="85">
        <f t="shared" si="31"/>
        <v>14.285714285714285</v>
      </c>
      <c r="R72" s="85">
        <f t="shared" si="31"/>
        <v>4.7619047619047619</v>
      </c>
      <c r="S72" s="85">
        <f t="shared" si="31"/>
        <v>4.7619047619047619</v>
      </c>
      <c r="T72" s="85">
        <f t="shared" si="31"/>
        <v>9.5238095238095237</v>
      </c>
      <c r="U72" s="85">
        <f t="shared" si="31"/>
        <v>9.5238095238095237</v>
      </c>
      <c r="V72" s="85">
        <f t="shared" si="31"/>
        <v>19.047619047619047</v>
      </c>
      <c r="W72" s="86">
        <f t="shared" si="31"/>
        <v>14.285714285714285</v>
      </c>
      <c r="X72" s="87">
        <f t="shared" si="31"/>
        <v>19.047619047619047</v>
      </c>
    </row>
    <row r="73" spans="1:40" ht="12.75" customHeight="1" x14ac:dyDescent="0.2">
      <c r="A73" s="270"/>
      <c r="B73" s="114">
        <f t="shared" si="29"/>
        <v>100</v>
      </c>
      <c r="C73" s="125">
        <f t="shared" ref="C73:L73" si="32">C53</f>
        <v>21.03960396039604</v>
      </c>
      <c r="D73" s="126">
        <f t="shared" si="32"/>
        <v>18.626237623762375</v>
      </c>
      <c r="E73" s="126">
        <f t="shared" si="32"/>
        <v>18.007425742574256</v>
      </c>
      <c r="F73" s="126">
        <f t="shared" si="32"/>
        <v>15.594059405940595</v>
      </c>
      <c r="G73" s="126">
        <f t="shared" si="32"/>
        <v>13.79950495049505</v>
      </c>
      <c r="H73" s="126">
        <f t="shared" si="32"/>
        <v>13.242574257425744</v>
      </c>
      <c r="I73" s="127">
        <f t="shared" si="32"/>
        <v>11.819306930693068</v>
      </c>
      <c r="J73" s="126">
        <f t="shared" si="32"/>
        <v>11.076732673267326</v>
      </c>
      <c r="K73" s="127">
        <f t="shared" si="32"/>
        <v>11.076732673267326</v>
      </c>
      <c r="L73" s="128">
        <f t="shared" si="32"/>
        <v>11.014851485148515</v>
      </c>
      <c r="N73" s="95" t="str">
        <f>A76</f>
        <v>20～29歳(n = 119 )　　</v>
      </c>
      <c r="O73" s="88">
        <f t="shared" ref="O73:X73" si="33">C77</f>
        <v>28.571428571428569</v>
      </c>
      <c r="P73" s="89">
        <f t="shared" si="33"/>
        <v>15.966386554621847</v>
      </c>
      <c r="Q73" s="89">
        <f t="shared" si="33"/>
        <v>26.890756302521009</v>
      </c>
      <c r="R73" s="89">
        <f t="shared" si="33"/>
        <v>25.210084033613445</v>
      </c>
      <c r="S73" s="89">
        <f t="shared" si="33"/>
        <v>7.5630252100840334</v>
      </c>
      <c r="T73" s="89">
        <f t="shared" si="33"/>
        <v>8.4033613445378155</v>
      </c>
      <c r="U73" s="89">
        <f t="shared" si="33"/>
        <v>11.76470588235294</v>
      </c>
      <c r="V73" s="89">
        <f t="shared" si="33"/>
        <v>15.126050420168067</v>
      </c>
      <c r="W73" s="90">
        <f t="shared" si="33"/>
        <v>15.966386554621847</v>
      </c>
      <c r="X73" s="91">
        <f t="shared" si="33"/>
        <v>7.5630252100840334</v>
      </c>
    </row>
    <row r="74" spans="1:40" ht="12.75" customHeight="1" x14ac:dyDescent="0.2">
      <c r="A74" s="269" t="str">
        <f>A34</f>
        <v>18～19歳(n = 21 )　　</v>
      </c>
      <c r="B74" s="113">
        <f t="shared" si="29"/>
        <v>21</v>
      </c>
      <c r="C74" s="129">
        <f t="shared" ref="C74:L74" si="34">C54</f>
        <v>4</v>
      </c>
      <c r="D74" s="130">
        <f t="shared" si="34"/>
        <v>0</v>
      </c>
      <c r="E74" s="130">
        <f t="shared" si="34"/>
        <v>3</v>
      </c>
      <c r="F74" s="130">
        <f t="shared" si="34"/>
        <v>1</v>
      </c>
      <c r="G74" s="130">
        <f t="shared" si="34"/>
        <v>1</v>
      </c>
      <c r="H74" s="130">
        <f t="shared" si="34"/>
        <v>2</v>
      </c>
      <c r="I74" s="140">
        <f t="shared" si="34"/>
        <v>2</v>
      </c>
      <c r="J74" s="130">
        <f t="shared" si="34"/>
        <v>4</v>
      </c>
      <c r="K74" s="140">
        <f t="shared" si="34"/>
        <v>3</v>
      </c>
      <c r="L74" s="131">
        <f t="shared" si="34"/>
        <v>4</v>
      </c>
      <c r="N74" s="95" t="str">
        <f>A78</f>
        <v>30～39歳(n = 196 )　　</v>
      </c>
      <c r="O74" s="88">
        <f t="shared" ref="O74:X74" si="35">C79</f>
        <v>24.489795918367346</v>
      </c>
      <c r="P74" s="89">
        <f t="shared" si="35"/>
        <v>11.73469387755102</v>
      </c>
      <c r="Q74" s="89">
        <f t="shared" si="35"/>
        <v>29.591836734693878</v>
      </c>
      <c r="R74" s="89">
        <f t="shared" si="35"/>
        <v>28.571428571428569</v>
      </c>
      <c r="S74" s="89">
        <f t="shared" si="35"/>
        <v>6.1224489795918364</v>
      </c>
      <c r="T74" s="89">
        <f t="shared" si="35"/>
        <v>10.714285714285714</v>
      </c>
      <c r="U74" s="89">
        <f t="shared" si="35"/>
        <v>10.204081632653061</v>
      </c>
      <c r="V74" s="89">
        <f t="shared" si="35"/>
        <v>16.836734693877549</v>
      </c>
      <c r="W74" s="90">
        <f t="shared" si="35"/>
        <v>11.73469387755102</v>
      </c>
      <c r="X74" s="91">
        <f t="shared" si="35"/>
        <v>10.714285714285714</v>
      </c>
    </row>
    <row r="75" spans="1:40" ht="12.75" customHeight="1" x14ac:dyDescent="0.2">
      <c r="A75" s="270"/>
      <c r="B75" s="114">
        <f t="shared" si="29"/>
        <v>1.2995049504950495</v>
      </c>
      <c r="C75" s="125">
        <f t="shared" ref="C75:L75" si="36">C55</f>
        <v>19.047619047619047</v>
      </c>
      <c r="D75" s="126">
        <f t="shared" si="36"/>
        <v>0</v>
      </c>
      <c r="E75" s="126">
        <f t="shared" si="36"/>
        <v>14.285714285714285</v>
      </c>
      <c r="F75" s="126">
        <f t="shared" si="36"/>
        <v>4.7619047619047619</v>
      </c>
      <c r="G75" s="126">
        <f t="shared" si="36"/>
        <v>4.7619047619047619</v>
      </c>
      <c r="H75" s="126">
        <f t="shared" si="36"/>
        <v>9.5238095238095237</v>
      </c>
      <c r="I75" s="127">
        <f t="shared" si="36"/>
        <v>9.5238095238095237</v>
      </c>
      <c r="J75" s="126">
        <f t="shared" si="36"/>
        <v>19.047619047619047</v>
      </c>
      <c r="K75" s="127">
        <f t="shared" si="36"/>
        <v>14.285714285714285</v>
      </c>
      <c r="L75" s="128">
        <f t="shared" si="36"/>
        <v>19.047619047619047</v>
      </c>
      <c r="N75" s="95" t="str">
        <f>A80</f>
        <v>40～49歳(n = 281 )　　</v>
      </c>
      <c r="O75" s="88">
        <f t="shared" ref="O75:X75" si="37">C81</f>
        <v>19.9288256227758</v>
      </c>
      <c r="P75" s="89">
        <f t="shared" si="37"/>
        <v>19.217081850533805</v>
      </c>
      <c r="Q75" s="89">
        <f t="shared" si="37"/>
        <v>21.352313167259787</v>
      </c>
      <c r="R75" s="89">
        <f t="shared" si="37"/>
        <v>24.555160142348754</v>
      </c>
      <c r="S75" s="89">
        <f t="shared" si="37"/>
        <v>11.032028469750891</v>
      </c>
      <c r="T75" s="89">
        <f t="shared" si="37"/>
        <v>15.302491103202847</v>
      </c>
      <c r="U75" s="89">
        <f t="shared" si="37"/>
        <v>11.743772241992882</v>
      </c>
      <c r="V75" s="89">
        <f t="shared" si="37"/>
        <v>15.658362989323843</v>
      </c>
      <c r="W75" s="90">
        <f t="shared" si="37"/>
        <v>9.252669039145907</v>
      </c>
      <c r="X75" s="91">
        <f t="shared" si="37"/>
        <v>14.23487544483986</v>
      </c>
    </row>
    <row r="76" spans="1:40" ht="12.75" customHeight="1" x14ac:dyDescent="0.2">
      <c r="A76" s="269" t="str">
        <f>A36</f>
        <v>20～29歳(n = 119 )　　</v>
      </c>
      <c r="B76" s="113">
        <f t="shared" si="29"/>
        <v>119</v>
      </c>
      <c r="C76" s="129">
        <f t="shared" ref="C76:L76" si="38">C56</f>
        <v>34</v>
      </c>
      <c r="D76" s="130">
        <f t="shared" si="38"/>
        <v>19</v>
      </c>
      <c r="E76" s="130">
        <f t="shared" si="38"/>
        <v>32</v>
      </c>
      <c r="F76" s="130">
        <f t="shared" si="38"/>
        <v>30</v>
      </c>
      <c r="G76" s="130">
        <f t="shared" si="38"/>
        <v>9</v>
      </c>
      <c r="H76" s="130">
        <f t="shared" si="38"/>
        <v>10</v>
      </c>
      <c r="I76" s="140">
        <f t="shared" si="38"/>
        <v>14</v>
      </c>
      <c r="J76" s="130">
        <f t="shared" si="38"/>
        <v>18</v>
      </c>
      <c r="K76" s="140">
        <f t="shared" si="38"/>
        <v>19</v>
      </c>
      <c r="L76" s="131">
        <f t="shared" si="38"/>
        <v>9</v>
      </c>
      <c r="N76" s="95" t="str">
        <f>A82</f>
        <v>50～59歳(n = 320 )　　</v>
      </c>
      <c r="O76" s="88">
        <f t="shared" ref="O76:X76" si="39">C83</f>
        <v>20</v>
      </c>
      <c r="P76" s="89">
        <f t="shared" si="39"/>
        <v>20</v>
      </c>
      <c r="Q76" s="89">
        <f t="shared" si="39"/>
        <v>13.750000000000002</v>
      </c>
      <c r="R76" s="89">
        <f t="shared" si="39"/>
        <v>9.6875</v>
      </c>
      <c r="S76" s="89">
        <f t="shared" si="39"/>
        <v>13.750000000000002</v>
      </c>
      <c r="T76" s="89">
        <f t="shared" si="39"/>
        <v>14.0625</v>
      </c>
      <c r="U76" s="89">
        <f t="shared" si="39"/>
        <v>12.5</v>
      </c>
      <c r="V76" s="89">
        <f t="shared" si="39"/>
        <v>9.375</v>
      </c>
      <c r="W76" s="90">
        <f t="shared" si="39"/>
        <v>10.625</v>
      </c>
      <c r="X76" s="91">
        <f t="shared" si="39"/>
        <v>10</v>
      </c>
    </row>
    <row r="77" spans="1:40" ht="12.75" customHeight="1" x14ac:dyDescent="0.2">
      <c r="A77" s="270"/>
      <c r="B77" s="114">
        <f t="shared" si="29"/>
        <v>7.3638613861386135</v>
      </c>
      <c r="C77" s="125">
        <f t="shared" ref="C77:L77" si="40">C57</f>
        <v>28.571428571428569</v>
      </c>
      <c r="D77" s="126">
        <f t="shared" si="40"/>
        <v>15.966386554621847</v>
      </c>
      <c r="E77" s="126">
        <f t="shared" si="40"/>
        <v>26.890756302521009</v>
      </c>
      <c r="F77" s="126">
        <f t="shared" si="40"/>
        <v>25.210084033613445</v>
      </c>
      <c r="G77" s="126">
        <f t="shared" si="40"/>
        <v>7.5630252100840334</v>
      </c>
      <c r="H77" s="126">
        <f t="shared" si="40"/>
        <v>8.4033613445378155</v>
      </c>
      <c r="I77" s="127">
        <f t="shared" si="40"/>
        <v>11.76470588235294</v>
      </c>
      <c r="J77" s="126">
        <f t="shared" si="40"/>
        <v>15.126050420168067</v>
      </c>
      <c r="K77" s="127">
        <f t="shared" si="40"/>
        <v>15.966386554621847</v>
      </c>
      <c r="L77" s="128">
        <f t="shared" si="40"/>
        <v>7.5630252100840334</v>
      </c>
      <c r="N77" s="95" t="str">
        <f>A84</f>
        <v>60～69歳(n = 352 )　　</v>
      </c>
      <c r="O77" s="88">
        <f t="shared" ref="O77:X77" si="41">C85</f>
        <v>17.613636363636363</v>
      </c>
      <c r="P77" s="89">
        <f t="shared" si="41"/>
        <v>21.022727272727273</v>
      </c>
      <c r="Q77" s="89">
        <f t="shared" si="41"/>
        <v>13.636363636363635</v>
      </c>
      <c r="R77" s="89">
        <f t="shared" si="41"/>
        <v>10.511363636363637</v>
      </c>
      <c r="S77" s="89">
        <f t="shared" si="41"/>
        <v>17.613636363636363</v>
      </c>
      <c r="T77" s="89">
        <f t="shared" si="41"/>
        <v>14.488636363636365</v>
      </c>
      <c r="U77" s="89">
        <f t="shared" si="41"/>
        <v>13.920454545454545</v>
      </c>
      <c r="V77" s="89">
        <f t="shared" si="41"/>
        <v>9.0909090909090917</v>
      </c>
      <c r="W77" s="90">
        <f t="shared" si="41"/>
        <v>11.931818181818182</v>
      </c>
      <c r="X77" s="91">
        <f t="shared" si="41"/>
        <v>11.079545454545455</v>
      </c>
    </row>
    <row r="78" spans="1:40" ht="13.5" customHeight="1" x14ac:dyDescent="0.2">
      <c r="A78" s="269" t="str">
        <f>A38</f>
        <v>30～39歳(n = 196 )　　</v>
      </c>
      <c r="B78" s="113">
        <f t="shared" si="29"/>
        <v>196</v>
      </c>
      <c r="C78" s="129">
        <f t="shared" ref="C78:L78" si="42">C58</f>
        <v>48</v>
      </c>
      <c r="D78" s="130">
        <f t="shared" si="42"/>
        <v>23</v>
      </c>
      <c r="E78" s="130">
        <f t="shared" si="42"/>
        <v>58</v>
      </c>
      <c r="F78" s="130">
        <f t="shared" si="42"/>
        <v>56</v>
      </c>
      <c r="G78" s="130">
        <f t="shared" si="42"/>
        <v>12</v>
      </c>
      <c r="H78" s="130">
        <f t="shared" si="42"/>
        <v>21</v>
      </c>
      <c r="I78" s="140">
        <f t="shared" si="42"/>
        <v>20</v>
      </c>
      <c r="J78" s="130">
        <f t="shared" si="42"/>
        <v>33</v>
      </c>
      <c r="K78" s="140">
        <f t="shared" si="42"/>
        <v>23</v>
      </c>
      <c r="L78" s="131">
        <f t="shared" si="42"/>
        <v>21</v>
      </c>
      <c r="N78" s="94" t="str">
        <f>A86</f>
        <v>70歳以上(n = 315 )　　</v>
      </c>
      <c r="O78" s="78">
        <f t="shared" ref="O78:X78" si="43">C87</f>
        <v>22.222222222222221</v>
      </c>
      <c r="P78" s="79">
        <f t="shared" si="43"/>
        <v>21.269841269841269</v>
      </c>
      <c r="Q78" s="79">
        <f t="shared" si="43"/>
        <v>14.603174603174605</v>
      </c>
      <c r="R78" s="79">
        <f t="shared" si="43"/>
        <v>8.8888888888888893</v>
      </c>
      <c r="S78" s="79">
        <f t="shared" si="43"/>
        <v>19.047619047619047</v>
      </c>
      <c r="T78" s="79">
        <f t="shared" si="43"/>
        <v>12.698412698412698</v>
      </c>
      <c r="U78" s="79">
        <f t="shared" si="43"/>
        <v>10.476190476190476</v>
      </c>
      <c r="V78" s="79">
        <f t="shared" si="43"/>
        <v>5.3968253968253972</v>
      </c>
      <c r="W78" s="80">
        <f t="shared" si="43"/>
        <v>9.8412698412698418</v>
      </c>
      <c r="X78" s="81">
        <f t="shared" si="43"/>
        <v>10.476190476190476</v>
      </c>
    </row>
    <row r="79" spans="1:40" x14ac:dyDescent="0.2">
      <c r="A79" s="270"/>
      <c r="B79" s="114">
        <f t="shared" si="29"/>
        <v>12.128712871287128</v>
      </c>
      <c r="C79" s="125">
        <f t="shared" ref="C79:L79" si="44">C59</f>
        <v>24.489795918367346</v>
      </c>
      <c r="D79" s="126">
        <f t="shared" si="44"/>
        <v>11.73469387755102</v>
      </c>
      <c r="E79" s="126">
        <f t="shared" si="44"/>
        <v>29.591836734693878</v>
      </c>
      <c r="F79" s="126">
        <f t="shared" si="44"/>
        <v>28.571428571428569</v>
      </c>
      <c r="G79" s="126">
        <f t="shared" si="44"/>
        <v>6.1224489795918364</v>
      </c>
      <c r="H79" s="126">
        <f t="shared" si="44"/>
        <v>10.714285714285714</v>
      </c>
      <c r="I79" s="127">
        <f t="shared" si="44"/>
        <v>10.204081632653061</v>
      </c>
      <c r="J79" s="126">
        <f t="shared" si="44"/>
        <v>16.836734693877549</v>
      </c>
      <c r="K79" s="127">
        <f t="shared" si="44"/>
        <v>11.73469387755102</v>
      </c>
      <c r="L79" s="128">
        <f t="shared" si="44"/>
        <v>10.714285714285714</v>
      </c>
    </row>
    <row r="80" spans="1:40" x14ac:dyDescent="0.2">
      <c r="A80" s="269" t="str">
        <f>A40</f>
        <v>40～49歳(n = 281 )　　</v>
      </c>
      <c r="B80" s="113">
        <f t="shared" si="29"/>
        <v>281</v>
      </c>
      <c r="C80" s="129">
        <f t="shared" ref="C80:L80" si="45">C60</f>
        <v>56</v>
      </c>
      <c r="D80" s="130">
        <f t="shared" si="45"/>
        <v>54</v>
      </c>
      <c r="E80" s="130">
        <f t="shared" si="45"/>
        <v>60</v>
      </c>
      <c r="F80" s="130">
        <f t="shared" si="45"/>
        <v>69</v>
      </c>
      <c r="G80" s="130">
        <f t="shared" si="45"/>
        <v>31</v>
      </c>
      <c r="H80" s="130">
        <f t="shared" si="45"/>
        <v>43</v>
      </c>
      <c r="I80" s="140">
        <f t="shared" si="45"/>
        <v>33</v>
      </c>
      <c r="J80" s="130">
        <f t="shared" si="45"/>
        <v>44</v>
      </c>
      <c r="K80" s="140">
        <f t="shared" si="45"/>
        <v>26</v>
      </c>
      <c r="L80" s="131">
        <f t="shared" si="45"/>
        <v>40</v>
      </c>
    </row>
    <row r="81" spans="1:43" x14ac:dyDescent="0.2">
      <c r="A81" s="270"/>
      <c r="B81" s="114">
        <f t="shared" si="29"/>
        <v>17.388613861386137</v>
      </c>
      <c r="C81" s="125">
        <f t="shared" ref="C81:L81" si="46">C61</f>
        <v>19.9288256227758</v>
      </c>
      <c r="D81" s="126">
        <f t="shared" si="46"/>
        <v>19.217081850533805</v>
      </c>
      <c r="E81" s="126">
        <f t="shared" si="46"/>
        <v>21.352313167259787</v>
      </c>
      <c r="F81" s="126">
        <f t="shared" si="46"/>
        <v>24.555160142348754</v>
      </c>
      <c r="G81" s="126">
        <f t="shared" si="46"/>
        <v>11.032028469750891</v>
      </c>
      <c r="H81" s="126">
        <f t="shared" si="46"/>
        <v>15.302491103202847</v>
      </c>
      <c r="I81" s="127">
        <f t="shared" si="46"/>
        <v>11.743772241992882</v>
      </c>
      <c r="J81" s="126">
        <f t="shared" si="46"/>
        <v>15.658362989323843</v>
      </c>
      <c r="K81" s="127">
        <f t="shared" si="46"/>
        <v>9.252669039145907</v>
      </c>
      <c r="L81" s="128">
        <f t="shared" si="46"/>
        <v>14.23487544483986</v>
      </c>
    </row>
    <row r="82" spans="1:43" x14ac:dyDescent="0.2">
      <c r="A82" s="269" t="str">
        <f>A42</f>
        <v>50～59歳(n = 320 )　　</v>
      </c>
      <c r="B82" s="113">
        <f t="shared" si="29"/>
        <v>320</v>
      </c>
      <c r="C82" s="129">
        <f t="shared" ref="C82:L82" si="47">C62</f>
        <v>64</v>
      </c>
      <c r="D82" s="130">
        <f t="shared" si="47"/>
        <v>64</v>
      </c>
      <c r="E82" s="130">
        <f t="shared" si="47"/>
        <v>44</v>
      </c>
      <c r="F82" s="130">
        <f t="shared" si="47"/>
        <v>31</v>
      </c>
      <c r="G82" s="130">
        <f t="shared" si="47"/>
        <v>44</v>
      </c>
      <c r="H82" s="130">
        <f t="shared" si="47"/>
        <v>45</v>
      </c>
      <c r="I82" s="140">
        <f t="shared" si="47"/>
        <v>40</v>
      </c>
      <c r="J82" s="130">
        <f t="shared" si="47"/>
        <v>30</v>
      </c>
      <c r="K82" s="140">
        <f t="shared" si="47"/>
        <v>34</v>
      </c>
      <c r="L82" s="131">
        <f t="shared" si="47"/>
        <v>32</v>
      </c>
    </row>
    <row r="83" spans="1:43" x14ac:dyDescent="0.2">
      <c r="A83" s="270"/>
      <c r="B83" s="114">
        <f t="shared" si="29"/>
        <v>19.801980198019802</v>
      </c>
      <c r="C83" s="125">
        <f t="shared" ref="C83:L83" si="48">C63</f>
        <v>20</v>
      </c>
      <c r="D83" s="126">
        <f t="shared" si="48"/>
        <v>20</v>
      </c>
      <c r="E83" s="126">
        <f t="shared" si="48"/>
        <v>13.750000000000002</v>
      </c>
      <c r="F83" s="126">
        <f t="shared" si="48"/>
        <v>9.6875</v>
      </c>
      <c r="G83" s="126">
        <f t="shared" si="48"/>
        <v>13.750000000000002</v>
      </c>
      <c r="H83" s="126">
        <f t="shared" si="48"/>
        <v>14.0625</v>
      </c>
      <c r="I83" s="127">
        <f t="shared" si="48"/>
        <v>12.5</v>
      </c>
      <c r="J83" s="126">
        <f t="shared" si="48"/>
        <v>9.375</v>
      </c>
      <c r="K83" s="127">
        <f t="shared" si="48"/>
        <v>10.625</v>
      </c>
      <c r="L83" s="128">
        <f t="shared" si="48"/>
        <v>10</v>
      </c>
    </row>
    <row r="84" spans="1:43" x14ac:dyDescent="0.2">
      <c r="A84" s="269" t="str">
        <f>A44</f>
        <v>60～69歳(n = 352 )　　</v>
      </c>
      <c r="B84" s="113">
        <f t="shared" si="29"/>
        <v>352</v>
      </c>
      <c r="C84" s="129">
        <f t="shared" ref="C84:L84" si="49">C64</f>
        <v>62</v>
      </c>
      <c r="D84" s="130">
        <f t="shared" si="49"/>
        <v>74</v>
      </c>
      <c r="E84" s="130">
        <f t="shared" si="49"/>
        <v>48</v>
      </c>
      <c r="F84" s="130">
        <f t="shared" si="49"/>
        <v>37</v>
      </c>
      <c r="G84" s="130">
        <f t="shared" si="49"/>
        <v>62</v>
      </c>
      <c r="H84" s="130">
        <f t="shared" si="49"/>
        <v>51</v>
      </c>
      <c r="I84" s="140">
        <f t="shared" si="49"/>
        <v>49</v>
      </c>
      <c r="J84" s="130">
        <f t="shared" si="49"/>
        <v>32</v>
      </c>
      <c r="K84" s="140">
        <f t="shared" si="49"/>
        <v>42</v>
      </c>
      <c r="L84" s="131">
        <f t="shared" si="49"/>
        <v>39</v>
      </c>
    </row>
    <row r="85" spans="1:43" x14ac:dyDescent="0.2">
      <c r="A85" s="270"/>
      <c r="B85" s="114">
        <f t="shared" si="29"/>
        <v>21.782178217821784</v>
      </c>
      <c r="C85" s="125">
        <f t="shared" ref="C85:L85" si="50">C65</f>
        <v>17.613636363636363</v>
      </c>
      <c r="D85" s="126">
        <f t="shared" si="50"/>
        <v>21.022727272727273</v>
      </c>
      <c r="E85" s="126">
        <f t="shared" si="50"/>
        <v>13.636363636363635</v>
      </c>
      <c r="F85" s="126">
        <f t="shared" si="50"/>
        <v>10.511363636363637</v>
      </c>
      <c r="G85" s="126">
        <f t="shared" si="50"/>
        <v>17.613636363636363</v>
      </c>
      <c r="H85" s="126">
        <f t="shared" si="50"/>
        <v>14.488636363636365</v>
      </c>
      <c r="I85" s="127">
        <f t="shared" si="50"/>
        <v>13.920454545454545</v>
      </c>
      <c r="J85" s="126">
        <f t="shared" si="50"/>
        <v>9.0909090909090917</v>
      </c>
      <c r="K85" s="127">
        <f t="shared" si="50"/>
        <v>11.931818181818182</v>
      </c>
      <c r="L85" s="128">
        <f t="shared" si="50"/>
        <v>11.079545454545455</v>
      </c>
    </row>
    <row r="86" spans="1:43" x14ac:dyDescent="0.2">
      <c r="A86" s="269" t="str">
        <f>A46</f>
        <v>70歳以上(n = 315 )　　</v>
      </c>
      <c r="B86" s="113">
        <f t="shared" si="29"/>
        <v>315</v>
      </c>
      <c r="C86" s="129">
        <f t="shared" ref="C86:L86" si="51">C66</f>
        <v>70</v>
      </c>
      <c r="D86" s="130">
        <f t="shared" si="51"/>
        <v>67</v>
      </c>
      <c r="E86" s="130">
        <f t="shared" si="51"/>
        <v>46</v>
      </c>
      <c r="F86" s="130">
        <f t="shared" si="51"/>
        <v>28</v>
      </c>
      <c r="G86" s="130">
        <f t="shared" si="51"/>
        <v>60</v>
      </c>
      <c r="H86" s="130">
        <f t="shared" si="51"/>
        <v>40</v>
      </c>
      <c r="I86" s="140">
        <f t="shared" si="51"/>
        <v>33</v>
      </c>
      <c r="J86" s="130">
        <f t="shared" si="51"/>
        <v>17</v>
      </c>
      <c r="K86" s="140">
        <f t="shared" si="51"/>
        <v>31</v>
      </c>
      <c r="L86" s="131">
        <f t="shared" si="51"/>
        <v>33</v>
      </c>
    </row>
    <row r="87" spans="1:43" x14ac:dyDescent="0.2">
      <c r="A87" s="270"/>
      <c r="B87" s="114">
        <f t="shared" si="29"/>
        <v>19.492574257425744</v>
      </c>
      <c r="C87" s="125">
        <f t="shared" ref="C87:L87" si="52">C67</f>
        <v>22.222222222222221</v>
      </c>
      <c r="D87" s="126">
        <f t="shared" si="52"/>
        <v>21.269841269841269</v>
      </c>
      <c r="E87" s="126">
        <f t="shared" si="52"/>
        <v>14.603174603174605</v>
      </c>
      <c r="F87" s="126">
        <f t="shared" si="52"/>
        <v>8.8888888888888893</v>
      </c>
      <c r="G87" s="126">
        <f t="shared" si="52"/>
        <v>19.047619047619047</v>
      </c>
      <c r="H87" s="126">
        <f t="shared" si="52"/>
        <v>12.698412698412698</v>
      </c>
      <c r="I87" s="127">
        <f t="shared" si="52"/>
        <v>10.476190476190476</v>
      </c>
      <c r="J87" s="126">
        <f t="shared" si="52"/>
        <v>5.3968253968253972</v>
      </c>
      <c r="K87" s="127">
        <f t="shared" si="52"/>
        <v>9.8412698412698418</v>
      </c>
      <c r="L87" s="128">
        <f t="shared" si="52"/>
        <v>10.476190476190476</v>
      </c>
    </row>
    <row r="89" spans="1:43" x14ac:dyDescent="0.2">
      <c r="A89" s="3" t="s">
        <v>415</v>
      </c>
      <c r="B89" s="1" t="str">
        <f>B30</f>
        <v>県の取り組みで努力が足りないと思う分野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3" ht="43.2" x14ac:dyDescent="0.2">
      <c r="A90" s="13" t="s">
        <v>27</v>
      </c>
      <c r="B90" s="59" t="str">
        <f>B31</f>
        <v>調査数</v>
      </c>
      <c r="C90" s="60" t="str">
        <f t="shared" ref="C90:AM90" si="53">C31</f>
        <v>防災対策</v>
      </c>
      <c r="D90" s="61" t="str">
        <f t="shared" si="53"/>
        <v>自然環境保全</v>
      </c>
      <c r="E90" s="61" t="str">
        <f t="shared" si="53"/>
        <v>住環境保全</v>
      </c>
      <c r="F90" s="61" t="str">
        <f t="shared" si="53"/>
        <v>廃棄物対策</v>
      </c>
      <c r="G90" s="61" t="str">
        <f t="shared" si="53"/>
        <v>消費者保護</v>
      </c>
      <c r="H90" s="61" t="str">
        <f t="shared" si="53"/>
        <v>防犯・交通安全対策</v>
      </c>
      <c r="I90" s="61" t="str">
        <f t="shared" si="53"/>
        <v>地域コミュニティの活性化</v>
      </c>
      <c r="J90" s="61" t="str">
        <f t="shared" si="53"/>
        <v>地域医療の確保</v>
      </c>
      <c r="K90" s="61" t="str">
        <f t="shared" si="53"/>
        <v>健康増進</v>
      </c>
      <c r="L90" s="61" t="str">
        <f t="shared" si="53"/>
        <v>食品の安全対策</v>
      </c>
      <c r="M90" s="61" t="str">
        <f t="shared" si="53"/>
        <v>薬物対策</v>
      </c>
      <c r="N90" s="61" t="str">
        <f t="shared" si="53"/>
        <v>高齢者福祉</v>
      </c>
      <c r="O90" s="61" t="str">
        <f t="shared" si="53"/>
        <v>障がい者福祉</v>
      </c>
      <c r="P90" s="61" t="str">
        <f t="shared" si="53"/>
        <v>少子化対策</v>
      </c>
      <c r="Q90" s="61" t="str">
        <f t="shared" si="53"/>
        <v>子育て支援</v>
      </c>
      <c r="R90" s="61" t="str">
        <f t="shared" si="53"/>
        <v>中小企業支援</v>
      </c>
      <c r="S90" s="61" t="str">
        <f t="shared" si="53"/>
        <v>企業誘致</v>
      </c>
      <c r="T90" s="61" t="str">
        <f t="shared" si="53"/>
        <v>成長産業分野の振興</v>
      </c>
      <c r="U90" s="61" t="str">
        <f t="shared" si="53"/>
        <v>観光振興</v>
      </c>
      <c r="V90" s="61" t="str">
        <f t="shared" si="53"/>
        <v>就労支援</v>
      </c>
      <c r="W90" s="61" t="str">
        <f t="shared" si="53"/>
        <v>労働環境改善</v>
      </c>
      <c r="X90" s="61" t="str">
        <f t="shared" si="53"/>
        <v>様々な産業を担う人材の育成</v>
      </c>
      <c r="Y90" s="61" t="str">
        <f t="shared" si="53"/>
        <v>女性の活躍推進</v>
      </c>
      <c r="Z90" s="61" t="str">
        <f t="shared" si="53"/>
        <v>農業等振興</v>
      </c>
      <c r="AA90" s="61" t="str">
        <f t="shared" si="53"/>
        <v>林業振興</v>
      </c>
      <c r="AB90" s="61" t="str">
        <f t="shared" si="53"/>
        <v>道路整備・維持管理</v>
      </c>
      <c r="AC90" s="61" t="str">
        <f t="shared" si="53"/>
        <v>河川整備・維持管理</v>
      </c>
      <c r="AD90" s="61" t="str">
        <f t="shared" si="53"/>
        <v>砂防対策</v>
      </c>
      <c r="AE90" s="61" t="str">
        <f t="shared" si="53"/>
        <v>公共交通の充実</v>
      </c>
      <c r="AF90" s="61" t="str">
        <f t="shared" si="53"/>
        <v>公園整備</v>
      </c>
      <c r="AG90" s="61" t="str">
        <f t="shared" si="53"/>
        <v>学校教育の充実</v>
      </c>
      <c r="AH90" s="61" t="str">
        <f t="shared" si="53"/>
        <v>社会教育・生涯学習の充実</v>
      </c>
      <c r="AI90" s="61" t="str">
        <f t="shared" si="53"/>
        <v>文化・芸術の振興</v>
      </c>
      <c r="AJ90" s="61" t="str">
        <f t="shared" si="53"/>
        <v>スポーツやレクリエーションの推進</v>
      </c>
      <c r="AK90" s="61" t="str">
        <f t="shared" si="53"/>
        <v>若者の県内定着</v>
      </c>
      <c r="AL90" s="61" t="str">
        <f t="shared" si="53"/>
        <v>県外からの移住・定住の推進</v>
      </c>
      <c r="AM90" s="63" t="str">
        <f t="shared" si="53"/>
        <v>無回答</v>
      </c>
      <c r="AN90" s="5" t="s">
        <v>118</v>
      </c>
    </row>
    <row r="91" spans="1:43" x14ac:dyDescent="0.2">
      <c r="A91" s="269" t="str">
        <f>'問10-1M（表）'!A91</f>
        <v>全体(n = 1,616 )　　</v>
      </c>
      <c r="B91" s="227" t="str">
        <f>'問9S（表）'!B53</f>
        <v>1,616</v>
      </c>
      <c r="C91" s="31">
        <f>$C$3</f>
        <v>191</v>
      </c>
      <c r="D91" s="32">
        <f>$D$3</f>
        <v>83</v>
      </c>
      <c r="E91" s="32">
        <f>$E$3</f>
        <v>105</v>
      </c>
      <c r="F91" s="32">
        <f>$F$3</f>
        <v>140</v>
      </c>
      <c r="G91" s="32">
        <f>$G$3</f>
        <v>159</v>
      </c>
      <c r="H91" s="32">
        <f>$H$3</f>
        <v>113</v>
      </c>
      <c r="I91" s="32">
        <f>$I$3</f>
        <v>108</v>
      </c>
      <c r="J91" s="32">
        <f>$J$3</f>
        <v>214</v>
      </c>
      <c r="K91" s="32">
        <f>$K$3</f>
        <v>55</v>
      </c>
      <c r="L91" s="32">
        <f>$L$3</f>
        <v>40</v>
      </c>
      <c r="M91" s="32">
        <f>$M$3</f>
        <v>42</v>
      </c>
      <c r="N91" s="32">
        <f>$N$3</f>
        <v>223</v>
      </c>
      <c r="O91" s="32">
        <f>$O$3</f>
        <v>110</v>
      </c>
      <c r="P91" s="32">
        <f>$P$3</f>
        <v>291</v>
      </c>
      <c r="Q91" s="32">
        <f>$Q$3</f>
        <v>252</v>
      </c>
      <c r="R91" s="32">
        <f>$R$3</f>
        <v>139</v>
      </c>
      <c r="S91" s="32">
        <f>$S$3</f>
        <v>154</v>
      </c>
      <c r="T91" s="32">
        <f>$T$3</f>
        <v>72</v>
      </c>
      <c r="U91" s="32">
        <f>$U$3</f>
        <v>176</v>
      </c>
      <c r="V91" s="32">
        <f>$V$3</f>
        <v>152</v>
      </c>
      <c r="W91" s="32">
        <f>$W$3</f>
        <v>179</v>
      </c>
      <c r="X91" s="32">
        <f>$X$3</f>
        <v>115</v>
      </c>
      <c r="Y91" s="32">
        <f>$Y$3</f>
        <v>178</v>
      </c>
      <c r="Z91" s="32">
        <f>$Z$3</f>
        <v>72</v>
      </c>
      <c r="AA91" s="32">
        <f>$AA$3</f>
        <v>53</v>
      </c>
      <c r="AB91" s="32">
        <f>$AB$3</f>
        <v>174</v>
      </c>
      <c r="AC91" s="32">
        <f>$AC$3</f>
        <v>109</v>
      </c>
      <c r="AD91" s="32">
        <f>$AD$3</f>
        <v>66</v>
      </c>
      <c r="AE91" s="32">
        <f>$AE$3</f>
        <v>301</v>
      </c>
      <c r="AF91" s="32">
        <f>$AF$3</f>
        <v>135</v>
      </c>
      <c r="AG91" s="32">
        <f>$AG$3</f>
        <v>141</v>
      </c>
      <c r="AH91" s="32">
        <f>$AH$3</f>
        <v>46</v>
      </c>
      <c r="AI91" s="32">
        <f>$AI$3</f>
        <v>57</v>
      </c>
      <c r="AJ91" s="32">
        <f>$AJ$3</f>
        <v>53</v>
      </c>
      <c r="AK91" s="32">
        <f>$AK$3</f>
        <v>340</v>
      </c>
      <c r="AL91" s="32">
        <f>$AL$3</f>
        <v>179</v>
      </c>
      <c r="AM91" s="33"/>
      <c r="AN91" s="5">
        <f>SUM(C91:AM91)</f>
        <v>5017</v>
      </c>
    </row>
    <row r="92" spans="1:43" x14ac:dyDescent="0.2">
      <c r="A92" s="270"/>
      <c r="B92" s="35">
        <f>'問9S（表）'!B54</f>
        <v>100</v>
      </c>
      <c r="C92" s="20">
        <f t="shared" ref="C92:AL92" si="54">C91/$B$91*100</f>
        <v>11.819306930693068</v>
      </c>
      <c r="D92" s="207">
        <f t="shared" si="54"/>
        <v>5.1361386138613856</v>
      </c>
      <c r="E92" s="207">
        <f t="shared" si="54"/>
        <v>6.4975247524752477</v>
      </c>
      <c r="F92" s="207">
        <f t="shared" si="54"/>
        <v>8.6633663366336631</v>
      </c>
      <c r="G92" s="207">
        <f t="shared" si="54"/>
        <v>9.8391089108910901</v>
      </c>
      <c r="H92" s="207">
        <f t="shared" si="54"/>
        <v>6.9925742574257432</v>
      </c>
      <c r="I92" s="207">
        <f t="shared" si="54"/>
        <v>6.6831683168316838</v>
      </c>
      <c r="J92" s="207">
        <f t="shared" si="54"/>
        <v>13.242574257425744</v>
      </c>
      <c r="K92" s="207">
        <f t="shared" si="54"/>
        <v>3.4034653465346536</v>
      </c>
      <c r="L92" s="207">
        <f t="shared" si="54"/>
        <v>2.4752475247524752</v>
      </c>
      <c r="M92" s="207">
        <f t="shared" si="54"/>
        <v>2.5990099009900991</v>
      </c>
      <c r="N92" s="207">
        <f t="shared" si="54"/>
        <v>13.79950495049505</v>
      </c>
      <c r="O92" s="207">
        <f t="shared" si="54"/>
        <v>6.8069306930693072</v>
      </c>
      <c r="P92" s="207">
        <f t="shared" si="54"/>
        <v>18.007425742574256</v>
      </c>
      <c r="Q92" s="207">
        <f t="shared" si="54"/>
        <v>15.594059405940595</v>
      </c>
      <c r="R92" s="207">
        <f t="shared" si="54"/>
        <v>8.6014851485148505</v>
      </c>
      <c r="S92" s="207">
        <f t="shared" si="54"/>
        <v>9.5297029702970306</v>
      </c>
      <c r="T92" s="207">
        <f t="shared" si="54"/>
        <v>4.455445544554455</v>
      </c>
      <c r="U92" s="207">
        <f t="shared" si="54"/>
        <v>10.891089108910892</v>
      </c>
      <c r="V92" s="207">
        <f t="shared" si="54"/>
        <v>9.4059405940594054</v>
      </c>
      <c r="W92" s="207">
        <f t="shared" si="54"/>
        <v>11.076732673267326</v>
      </c>
      <c r="X92" s="207">
        <f t="shared" si="54"/>
        <v>7.1163366336633658</v>
      </c>
      <c r="Y92" s="207">
        <f t="shared" si="54"/>
        <v>11.014851485148515</v>
      </c>
      <c r="Z92" s="207">
        <f t="shared" si="54"/>
        <v>4.455445544554455</v>
      </c>
      <c r="AA92" s="207">
        <f t="shared" si="54"/>
        <v>3.2797029702970297</v>
      </c>
      <c r="AB92" s="207">
        <f t="shared" si="54"/>
        <v>10.767326732673267</v>
      </c>
      <c r="AC92" s="207">
        <f t="shared" si="54"/>
        <v>6.7450495049504955</v>
      </c>
      <c r="AD92" s="207">
        <f t="shared" si="54"/>
        <v>4.0841584158415847</v>
      </c>
      <c r="AE92" s="207">
        <f t="shared" si="54"/>
        <v>18.626237623762375</v>
      </c>
      <c r="AF92" s="207">
        <f t="shared" si="54"/>
        <v>8.3539603960396036</v>
      </c>
      <c r="AG92" s="207">
        <f t="shared" si="54"/>
        <v>8.7252475247524739</v>
      </c>
      <c r="AH92" s="207">
        <f t="shared" si="54"/>
        <v>2.8465346534653468</v>
      </c>
      <c r="AI92" s="207">
        <f t="shared" si="54"/>
        <v>3.527227722772277</v>
      </c>
      <c r="AJ92" s="207">
        <f t="shared" si="54"/>
        <v>3.2797029702970297</v>
      </c>
      <c r="AK92" s="207">
        <f t="shared" si="54"/>
        <v>21.03960396039604</v>
      </c>
      <c r="AL92" s="207">
        <f t="shared" si="54"/>
        <v>11.076732673267326</v>
      </c>
      <c r="AM92" s="208"/>
      <c r="AN92" s="195"/>
    </row>
    <row r="93" spans="1:43" x14ac:dyDescent="0.2">
      <c r="A93" s="269" t="str">
        <f>'問10-1M（表）'!A93</f>
        <v>岐阜圏域(n = 617 )　　</v>
      </c>
      <c r="B93" s="34">
        <f>'問9S（表）'!B55</f>
        <v>617</v>
      </c>
      <c r="C93" s="31">
        <v>79</v>
      </c>
      <c r="D93" s="32">
        <v>20</v>
      </c>
      <c r="E93" s="32">
        <v>39</v>
      </c>
      <c r="F93" s="32">
        <v>59</v>
      </c>
      <c r="G93" s="32">
        <v>54</v>
      </c>
      <c r="H93" s="32">
        <v>48</v>
      </c>
      <c r="I93" s="32">
        <v>39</v>
      </c>
      <c r="J93" s="32">
        <v>54</v>
      </c>
      <c r="K93" s="32">
        <v>19</v>
      </c>
      <c r="L93" s="32">
        <v>16</v>
      </c>
      <c r="M93" s="32">
        <v>16</v>
      </c>
      <c r="N93" s="32">
        <v>78</v>
      </c>
      <c r="O93" s="32">
        <v>42</v>
      </c>
      <c r="P93" s="32">
        <v>119</v>
      </c>
      <c r="Q93" s="32">
        <v>105</v>
      </c>
      <c r="R93" s="32">
        <v>43</v>
      </c>
      <c r="S93" s="32">
        <v>60</v>
      </c>
      <c r="T93" s="32">
        <v>29</v>
      </c>
      <c r="U93" s="32">
        <v>81</v>
      </c>
      <c r="V93" s="32">
        <v>64</v>
      </c>
      <c r="W93" s="32">
        <v>70</v>
      </c>
      <c r="X93" s="32">
        <v>45</v>
      </c>
      <c r="Y93" s="32">
        <v>75</v>
      </c>
      <c r="Z93" s="32">
        <v>27</v>
      </c>
      <c r="AA93" s="32">
        <v>12</v>
      </c>
      <c r="AB93" s="32">
        <v>69</v>
      </c>
      <c r="AC93" s="32">
        <v>42</v>
      </c>
      <c r="AD93" s="32">
        <v>24</v>
      </c>
      <c r="AE93" s="32">
        <v>120</v>
      </c>
      <c r="AF93" s="32">
        <v>49</v>
      </c>
      <c r="AG93" s="32">
        <v>55</v>
      </c>
      <c r="AH93" s="32">
        <v>18</v>
      </c>
      <c r="AI93" s="32">
        <v>30</v>
      </c>
      <c r="AJ93" s="32">
        <v>23</v>
      </c>
      <c r="AK93" s="32">
        <v>119</v>
      </c>
      <c r="AL93" s="32">
        <v>60</v>
      </c>
      <c r="AM93" s="33"/>
      <c r="AN93" s="5">
        <f>SUM(C93:AM93)</f>
        <v>1902</v>
      </c>
      <c r="AO93" t="str">
        <f>" 岐阜圏域（ n = "&amp;B93&amp;"）"</f>
        <v xml:space="preserve"> 岐阜圏域（ n = 617）</v>
      </c>
      <c r="AQ93">
        <v>1</v>
      </c>
    </row>
    <row r="94" spans="1:43" x14ac:dyDescent="0.2">
      <c r="A94" s="270"/>
      <c r="B94" s="35">
        <f>'問9S（表）'!B56</f>
        <v>38.180693069306933</v>
      </c>
      <c r="C94" s="20">
        <f t="shared" ref="C94:AL94" si="55">C93/$B$93*100</f>
        <v>12.80388978930308</v>
      </c>
      <c r="D94" s="207">
        <f t="shared" si="55"/>
        <v>3.2414910858995136</v>
      </c>
      <c r="E94" s="207">
        <f t="shared" si="55"/>
        <v>6.3209076175040515</v>
      </c>
      <c r="F94" s="207">
        <f t="shared" si="55"/>
        <v>9.5623987034035665</v>
      </c>
      <c r="G94" s="207">
        <f t="shared" si="55"/>
        <v>8.7520259319286886</v>
      </c>
      <c r="H94" s="207">
        <f t="shared" si="55"/>
        <v>7.7795786061588341</v>
      </c>
      <c r="I94" s="207">
        <f t="shared" si="55"/>
        <v>6.3209076175040515</v>
      </c>
      <c r="J94" s="207">
        <f t="shared" si="55"/>
        <v>8.7520259319286886</v>
      </c>
      <c r="K94" s="207">
        <f t="shared" si="55"/>
        <v>3.0794165316045379</v>
      </c>
      <c r="L94" s="207">
        <f t="shared" si="55"/>
        <v>2.5931928687196111</v>
      </c>
      <c r="M94" s="207">
        <f t="shared" si="55"/>
        <v>2.5931928687196111</v>
      </c>
      <c r="N94" s="207">
        <f t="shared" si="55"/>
        <v>12.641815235008103</v>
      </c>
      <c r="O94" s="207">
        <f t="shared" si="55"/>
        <v>6.8071312803889779</v>
      </c>
      <c r="P94" s="207">
        <f t="shared" si="55"/>
        <v>19.286871961102108</v>
      </c>
      <c r="Q94" s="207">
        <f t="shared" si="55"/>
        <v>17.017828200972449</v>
      </c>
      <c r="R94" s="207">
        <f t="shared" si="55"/>
        <v>6.9692058346839545</v>
      </c>
      <c r="S94" s="207">
        <f t="shared" si="55"/>
        <v>9.7244732576985413</v>
      </c>
      <c r="T94" s="207">
        <f t="shared" si="55"/>
        <v>4.7001620745542949</v>
      </c>
      <c r="U94" s="207">
        <f t="shared" si="55"/>
        <v>13.128038897893029</v>
      </c>
      <c r="V94" s="207">
        <f t="shared" si="55"/>
        <v>10.372771474878444</v>
      </c>
      <c r="W94" s="207">
        <f t="shared" si="55"/>
        <v>11.345218800648297</v>
      </c>
      <c r="X94" s="207">
        <f t="shared" si="55"/>
        <v>7.2933549432739051</v>
      </c>
      <c r="Y94" s="207">
        <f t="shared" si="55"/>
        <v>12.155591572123177</v>
      </c>
      <c r="Z94" s="207">
        <f t="shared" si="55"/>
        <v>4.3760129659643443</v>
      </c>
      <c r="AA94" s="207">
        <f t="shared" si="55"/>
        <v>1.9448946515397085</v>
      </c>
      <c r="AB94" s="207">
        <f t="shared" si="55"/>
        <v>11.183144246353322</v>
      </c>
      <c r="AC94" s="207">
        <f t="shared" si="55"/>
        <v>6.8071312803889779</v>
      </c>
      <c r="AD94" s="207">
        <f t="shared" si="55"/>
        <v>3.8897893030794171</v>
      </c>
      <c r="AE94" s="207">
        <f t="shared" si="55"/>
        <v>19.448946515397083</v>
      </c>
      <c r="AF94" s="207">
        <f t="shared" si="55"/>
        <v>7.9416531604538081</v>
      </c>
      <c r="AG94" s="207">
        <f t="shared" si="55"/>
        <v>8.9141004862236617</v>
      </c>
      <c r="AH94" s="207">
        <f t="shared" si="55"/>
        <v>2.9173419773095626</v>
      </c>
      <c r="AI94" s="207">
        <f t="shared" si="55"/>
        <v>4.8622366288492707</v>
      </c>
      <c r="AJ94" s="207">
        <f t="shared" si="55"/>
        <v>3.7277147487844409</v>
      </c>
      <c r="AK94" s="207">
        <f t="shared" si="55"/>
        <v>19.286871961102108</v>
      </c>
      <c r="AL94" s="207">
        <f t="shared" si="55"/>
        <v>9.7244732576985413</v>
      </c>
      <c r="AM94" s="208"/>
      <c r="AN94" s="195"/>
    </row>
    <row r="95" spans="1:43" x14ac:dyDescent="0.2">
      <c r="A95" s="269" t="str">
        <f>'問10-1M（表）'!A95</f>
        <v>西濃圏域(n = 290 )　　</v>
      </c>
      <c r="B95" s="34">
        <f>'問9S（表）'!B57</f>
        <v>290</v>
      </c>
      <c r="C95" s="31">
        <v>37</v>
      </c>
      <c r="D95" s="32">
        <v>14</v>
      </c>
      <c r="E95" s="32">
        <v>21</v>
      </c>
      <c r="F95" s="32">
        <v>23</v>
      </c>
      <c r="G95" s="32">
        <v>33</v>
      </c>
      <c r="H95" s="32">
        <v>26</v>
      </c>
      <c r="I95" s="32">
        <v>19</v>
      </c>
      <c r="J95" s="32">
        <v>33</v>
      </c>
      <c r="K95" s="32">
        <v>9</v>
      </c>
      <c r="L95" s="32">
        <v>5</v>
      </c>
      <c r="M95" s="32">
        <v>6</v>
      </c>
      <c r="N95" s="32">
        <v>52</v>
      </c>
      <c r="O95" s="32">
        <v>20</v>
      </c>
      <c r="P95" s="32">
        <v>52</v>
      </c>
      <c r="Q95" s="32">
        <v>41</v>
      </c>
      <c r="R95" s="32">
        <v>26</v>
      </c>
      <c r="S95" s="32">
        <v>32</v>
      </c>
      <c r="T95" s="32">
        <v>15</v>
      </c>
      <c r="U95" s="32">
        <v>32</v>
      </c>
      <c r="V95" s="32">
        <v>29</v>
      </c>
      <c r="W95" s="32">
        <v>34</v>
      </c>
      <c r="X95" s="32">
        <v>22</v>
      </c>
      <c r="Y95" s="32">
        <v>37</v>
      </c>
      <c r="Z95" s="32">
        <v>16</v>
      </c>
      <c r="AA95" s="32">
        <v>9</v>
      </c>
      <c r="AB95" s="32">
        <v>33</v>
      </c>
      <c r="AC95" s="32">
        <v>24</v>
      </c>
      <c r="AD95" s="32">
        <v>4</v>
      </c>
      <c r="AE95" s="32">
        <v>56</v>
      </c>
      <c r="AF95" s="32">
        <v>25</v>
      </c>
      <c r="AG95" s="32">
        <v>24</v>
      </c>
      <c r="AH95" s="32">
        <v>10</v>
      </c>
      <c r="AI95" s="32">
        <v>9</v>
      </c>
      <c r="AJ95" s="32">
        <v>9</v>
      </c>
      <c r="AK95" s="32">
        <v>66</v>
      </c>
      <c r="AL95" s="32">
        <v>36</v>
      </c>
      <c r="AM95" s="33"/>
      <c r="AN95" s="5">
        <f>SUM(C95:AM95)</f>
        <v>939</v>
      </c>
      <c r="AO95" t="str">
        <f>" 西濃圏域（ n = "&amp;B95&amp;"）"</f>
        <v xml:space="preserve"> 西濃圏域（ n = 290）</v>
      </c>
      <c r="AQ95">
        <v>2</v>
      </c>
    </row>
    <row r="96" spans="1:43" x14ac:dyDescent="0.2">
      <c r="A96" s="270"/>
      <c r="B96" s="35">
        <f>'問9S（表）'!B58</f>
        <v>17.945544554455445</v>
      </c>
      <c r="C96" s="20">
        <f t="shared" ref="C96:AL96" si="56">C95/$B$95*100</f>
        <v>12.758620689655173</v>
      </c>
      <c r="D96" s="207">
        <f t="shared" si="56"/>
        <v>4.8275862068965516</v>
      </c>
      <c r="E96" s="207">
        <f t="shared" si="56"/>
        <v>7.2413793103448283</v>
      </c>
      <c r="F96" s="207">
        <f t="shared" si="56"/>
        <v>7.931034482758621</v>
      </c>
      <c r="G96" s="207">
        <f t="shared" si="56"/>
        <v>11.379310344827587</v>
      </c>
      <c r="H96" s="207">
        <f t="shared" si="56"/>
        <v>8.9655172413793096</v>
      </c>
      <c r="I96" s="207">
        <f t="shared" si="56"/>
        <v>6.5517241379310347</v>
      </c>
      <c r="J96" s="207">
        <f t="shared" si="56"/>
        <v>11.379310344827587</v>
      </c>
      <c r="K96" s="207">
        <f t="shared" si="56"/>
        <v>3.103448275862069</v>
      </c>
      <c r="L96" s="207">
        <f t="shared" si="56"/>
        <v>1.7241379310344827</v>
      </c>
      <c r="M96" s="207">
        <f t="shared" si="56"/>
        <v>2.0689655172413794</v>
      </c>
      <c r="N96" s="207">
        <f t="shared" si="56"/>
        <v>17.931034482758619</v>
      </c>
      <c r="O96" s="207">
        <f t="shared" si="56"/>
        <v>6.8965517241379306</v>
      </c>
      <c r="P96" s="207">
        <f t="shared" si="56"/>
        <v>17.931034482758619</v>
      </c>
      <c r="Q96" s="207">
        <f t="shared" si="56"/>
        <v>14.13793103448276</v>
      </c>
      <c r="R96" s="207">
        <f t="shared" si="56"/>
        <v>8.9655172413793096</v>
      </c>
      <c r="S96" s="207">
        <f t="shared" si="56"/>
        <v>11.03448275862069</v>
      </c>
      <c r="T96" s="207">
        <f t="shared" si="56"/>
        <v>5.1724137931034484</v>
      </c>
      <c r="U96" s="207">
        <f t="shared" si="56"/>
        <v>11.03448275862069</v>
      </c>
      <c r="V96" s="207">
        <f t="shared" si="56"/>
        <v>10</v>
      </c>
      <c r="W96" s="207">
        <f t="shared" si="56"/>
        <v>11.724137931034482</v>
      </c>
      <c r="X96" s="207">
        <f t="shared" si="56"/>
        <v>7.5862068965517242</v>
      </c>
      <c r="Y96" s="207">
        <f t="shared" si="56"/>
        <v>12.758620689655173</v>
      </c>
      <c r="Z96" s="207">
        <f t="shared" si="56"/>
        <v>5.5172413793103452</v>
      </c>
      <c r="AA96" s="207">
        <f t="shared" si="56"/>
        <v>3.103448275862069</v>
      </c>
      <c r="AB96" s="207">
        <f t="shared" si="56"/>
        <v>11.379310344827587</v>
      </c>
      <c r="AC96" s="207">
        <f t="shared" si="56"/>
        <v>8.2758620689655178</v>
      </c>
      <c r="AD96" s="207">
        <f t="shared" si="56"/>
        <v>1.3793103448275863</v>
      </c>
      <c r="AE96" s="207">
        <f t="shared" si="56"/>
        <v>19.310344827586206</v>
      </c>
      <c r="AF96" s="207">
        <f t="shared" si="56"/>
        <v>8.6206896551724146</v>
      </c>
      <c r="AG96" s="207">
        <f t="shared" si="56"/>
        <v>8.2758620689655178</v>
      </c>
      <c r="AH96" s="207">
        <f t="shared" si="56"/>
        <v>3.4482758620689653</v>
      </c>
      <c r="AI96" s="207">
        <f t="shared" si="56"/>
        <v>3.103448275862069</v>
      </c>
      <c r="AJ96" s="207">
        <f t="shared" si="56"/>
        <v>3.103448275862069</v>
      </c>
      <c r="AK96" s="207">
        <f t="shared" si="56"/>
        <v>22.758620689655174</v>
      </c>
      <c r="AL96" s="207">
        <f t="shared" si="56"/>
        <v>12.413793103448276</v>
      </c>
      <c r="AM96" s="208"/>
      <c r="AN96" s="195"/>
    </row>
    <row r="97" spans="1:43" x14ac:dyDescent="0.2">
      <c r="A97" s="269" t="str">
        <f>'問10-1M（表）'!A97</f>
        <v>中濃圏域(n = 300 )　　</v>
      </c>
      <c r="B97" s="34">
        <f>'問9S（表）'!B59</f>
        <v>300</v>
      </c>
      <c r="C97" s="31">
        <v>38</v>
      </c>
      <c r="D97" s="32">
        <v>21</v>
      </c>
      <c r="E97" s="32">
        <v>23</v>
      </c>
      <c r="F97" s="32">
        <v>31</v>
      </c>
      <c r="G97" s="32">
        <v>39</v>
      </c>
      <c r="H97" s="32">
        <v>21</v>
      </c>
      <c r="I97" s="32">
        <v>23</v>
      </c>
      <c r="J97" s="32">
        <v>33</v>
      </c>
      <c r="K97" s="32">
        <v>12</v>
      </c>
      <c r="L97" s="32">
        <v>14</v>
      </c>
      <c r="M97" s="32">
        <v>9</v>
      </c>
      <c r="N97" s="32">
        <v>36</v>
      </c>
      <c r="O97" s="32">
        <v>22</v>
      </c>
      <c r="P97" s="32">
        <v>47</v>
      </c>
      <c r="Q97" s="32">
        <v>44</v>
      </c>
      <c r="R97" s="32">
        <v>29</v>
      </c>
      <c r="S97" s="32">
        <v>19</v>
      </c>
      <c r="T97" s="32">
        <v>13</v>
      </c>
      <c r="U97" s="32">
        <v>30</v>
      </c>
      <c r="V97" s="32">
        <v>25</v>
      </c>
      <c r="W97" s="32">
        <v>35</v>
      </c>
      <c r="X97" s="32">
        <v>21</v>
      </c>
      <c r="Y97" s="32">
        <v>25</v>
      </c>
      <c r="Z97" s="32">
        <v>17</v>
      </c>
      <c r="AA97" s="32">
        <v>15</v>
      </c>
      <c r="AB97" s="32">
        <v>32</v>
      </c>
      <c r="AC97" s="32">
        <v>26</v>
      </c>
      <c r="AD97" s="32">
        <v>19</v>
      </c>
      <c r="AE97" s="32">
        <v>53</v>
      </c>
      <c r="AF97" s="32">
        <v>26</v>
      </c>
      <c r="AG97" s="32">
        <v>28</v>
      </c>
      <c r="AH97" s="32">
        <v>8</v>
      </c>
      <c r="AI97" s="32">
        <v>9</v>
      </c>
      <c r="AJ97" s="32">
        <v>12</v>
      </c>
      <c r="AK97" s="32">
        <v>65</v>
      </c>
      <c r="AL97" s="32">
        <v>33</v>
      </c>
      <c r="AM97" s="33"/>
      <c r="AN97" s="5">
        <f>SUM(C97:AM97)</f>
        <v>953</v>
      </c>
      <c r="AO97" t="str">
        <f>" 中濃圏域（ n = "&amp;B97&amp;"）"</f>
        <v xml:space="preserve"> 中濃圏域（ n = 300）</v>
      </c>
      <c r="AQ97">
        <v>3</v>
      </c>
    </row>
    <row r="98" spans="1:43" x14ac:dyDescent="0.2">
      <c r="A98" s="270"/>
      <c r="B98" s="35">
        <f>'問9S（表）'!B60</f>
        <v>18.564356435643564</v>
      </c>
      <c r="C98" s="20">
        <f t="shared" ref="C98:AL98" si="57">C97/$B$97*100</f>
        <v>12.666666666666668</v>
      </c>
      <c r="D98" s="207">
        <f t="shared" si="57"/>
        <v>7.0000000000000009</v>
      </c>
      <c r="E98" s="207">
        <f t="shared" si="57"/>
        <v>7.6666666666666661</v>
      </c>
      <c r="F98" s="207">
        <f t="shared" si="57"/>
        <v>10.333333333333334</v>
      </c>
      <c r="G98" s="207">
        <f t="shared" si="57"/>
        <v>13</v>
      </c>
      <c r="H98" s="207">
        <f t="shared" si="57"/>
        <v>7.0000000000000009</v>
      </c>
      <c r="I98" s="207">
        <f t="shared" si="57"/>
        <v>7.6666666666666661</v>
      </c>
      <c r="J98" s="207">
        <f t="shared" si="57"/>
        <v>11</v>
      </c>
      <c r="K98" s="207">
        <f t="shared" si="57"/>
        <v>4</v>
      </c>
      <c r="L98" s="207">
        <f t="shared" si="57"/>
        <v>4.666666666666667</v>
      </c>
      <c r="M98" s="207">
        <f t="shared" si="57"/>
        <v>3</v>
      </c>
      <c r="N98" s="207">
        <f t="shared" si="57"/>
        <v>12</v>
      </c>
      <c r="O98" s="207">
        <f t="shared" si="57"/>
        <v>7.333333333333333</v>
      </c>
      <c r="P98" s="207">
        <f t="shared" si="57"/>
        <v>15.666666666666668</v>
      </c>
      <c r="Q98" s="207">
        <f t="shared" si="57"/>
        <v>14.666666666666666</v>
      </c>
      <c r="R98" s="207">
        <f t="shared" si="57"/>
        <v>9.6666666666666661</v>
      </c>
      <c r="S98" s="207">
        <f t="shared" si="57"/>
        <v>6.3333333333333339</v>
      </c>
      <c r="T98" s="207">
        <f t="shared" si="57"/>
        <v>4.3333333333333339</v>
      </c>
      <c r="U98" s="207">
        <f t="shared" si="57"/>
        <v>10</v>
      </c>
      <c r="V98" s="207">
        <f t="shared" si="57"/>
        <v>8.3333333333333321</v>
      </c>
      <c r="W98" s="207">
        <f t="shared" si="57"/>
        <v>11.666666666666666</v>
      </c>
      <c r="X98" s="207">
        <f t="shared" si="57"/>
        <v>7.0000000000000009</v>
      </c>
      <c r="Y98" s="207">
        <f t="shared" si="57"/>
        <v>8.3333333333333321</v>
      </c>
      <c r="Z98" s="207">
        <f t="shared" si="57"/>
        <v>5.6666666666666661</v>
      </c>
      <c r="AA98" s="207">
        <f t="shared" si="57"/>
        <v>5</v>
      </c>
      <c r="AB98" s="207">
        <f t="shared" si="57"/>
        <v>10.666666666666668</v>
      </c>
      <c r="AC98" s="207">
        <f t="shared" si="57"/>
        <v>8.6666666666666679</v>
      </c>
      <c r="AD98" s="207">
        <f t="shared" si="57"/>
        <v>6.3333333333333339</v>
      </c>
      <c r="AE98" s="207">
        <f t="shared" si="57"/>
        <v>17.666666666666668</v>
      </c>
      <c r="AF98" s="207">
        <f t="shared" si="57"/>
        <v>8.6666666666666679</v>
      </c>
      <c r="AG98" s="207">
        <f t="shared" si="57"/>
        <v>9.3333333333333339</v>
      </c>
      <c r="AH98" s="207">
        <f t="shared" si="57"/>
        <v>2.666666666666667</v>
      </c>
      <c r="AI98" s="207">
        <f t="shared" si="57"/>
        <v>3</v>
      </c>
      <c r="AJ98" s="207">
        <f t="shared" si="57"/>
        <v>4</v>
      </c>
      <c r="AK98" s="207">
        <f t="shared" si="57"/>
        <v>21.666666666666668</v>
      </c>
      <c r="AL98" s="207">
        <f t="shared" si="57"/>
        <v>11</v>
      </c>
      <c r="AM98" s="208"/>
      <c r="AN98" s="195"/>
    </row>
    <row r="99" spans="1:43" x14ac:dyDescent="0.2">
      <c r="A99" s="269" t="str">
        <f>'問10-1M（表）'!A99</f>
        <v>東濃圏域(n = 271 )　　</v>
      </c>
      <c r="B99" s="34">
        <f>'問9S（表）'!B61</f>
        <v>271</v>
      </c>
      <c r="C99" s="31">
        <v>23</v>
      </c>
      <c r="D99" s="32">
        <v>18</v>
      </c>
      <c r="E99" s="32">
        <v>15</v>
      </c>
      <c r="F99" s="32">
        <v>16</v>
      </c>
      <c r="G99" s="32">
        <v>23</v>
      </c>
      <c r="H99" s="32">
        <v>12</v>
      </c>
      <c r="I99" s="32">
        <v>23</v>
      </c>
      <c r="J99" s="32">
        <v>60</v>
      </c>
      <c r="K99" s="32">
        <v>9</v>
      </c>
      <c r="L99" s="32">
        <v>4</v>
      </c>
      <c r="M99" s="32">
        <v>10</v>
      </c>
      <c r="N99" s="32">
        <v>42</v>
      </c>
      <c r="O99" s="32">
        <v>13</v>
      </c>
      <c r="P99" s="32">
        <v>46</v>
      </c>
      <c r="Q99" s="32">
        <v>39</v>
      </c>
      <c r="R99" s="32">
        <v>28</v>
      </c>
      <c r="S99" s="32">
        <v>30</v>
      </c>
      <c r="T99" s="32">
        <v>12</v>
      </c>
      <c r="U99" s="32">
        <v>23</v>
      </c>
      <c r="V99" s="32">
        <v>25</v>
      </c>
      <c r="W99" s="32">
        <v>24</v>
      </c>
      <c r="X99" s="32">
        <v>17</v>
      </c>
      <c r="Y99" s="32">
        <v>27</v>
      </c>
      <c r="Z99" s="32">
        <v>9</v>
      </c>
      <c r="AA99" s="32">
        <v>9</v>
      </c>
      <c r="AB99" s="32">
        <v>26</v>
      </c>
      <c r="AC99" s="32">
        <v>9</v>
      </c>
      <c r="AD99" s="32">
        <v>11</v>
      </c>
      <c r="AE99" s="32">
        <v>54</v>
      </c>
      <c r="AF99" s="32">
        <v>19</v>
      </c>
      <c r="AG99" s="32">
        <v>22</v>
      </c>
      <c r="AH99" s="32">
        <v>9</v>
      </c>
      <c r="AI99" s="32">
        <v>7</v>
      </c>
      <c r="AJ99" s="32">
        <v>5</v>
      </c>
      <c r="AK99" s="32">
        <v>57</v>
      </c>
      <c r="AL99" s="32">
        <v>37</v>
      </c>
      <c r="AM99" s="33"/>
      <c r="AN99" s="5">
        <f>SUM(C99:AM99)</f>
        <v>813</v>
      </c>
      <c r="AO99" t="str">
        <f>" 東濃圏域（ n = "&amp;B99&amp;"）"</f>
        <v xml:space="preserve"> 東濃圏域（ n = 271）</v>
      </c>
      <c r="AQ99">
        <v>4</v>
      </c>
    </row>
    <row r="100" spans="1:43" x14ac:dyDescent="0.2">
      <c r="A100" s="270"/>
      <c r="B100" s="35">
        <f>'問9S（表）'!B62</f>
        <v>16.769801980198022</v>
      </c>
      <c r="C100" s="20">
        <f t="shared" ref="C100:AL100" si="58">C99/$B$99*100</f>
        <v>8.4870848708487081</v>
      </c>
      <c r="D100" s="207">
        <f t="shared" si="58"/>
        <v>6.6420664206642073</v>
      </c>
      <c r="E100" s="207">
        <f t="shared" si="58"/>
        <v>5.5350553505535052</v>
      </c>
      <c r="F100" s="207">
        <f t="shared" si="58"/>
        <v>5.9040590405904059</v>
      </c>
      <c r="G100" s="207">
        <f t="shared" si="58"/>
        <v>8.4870848708487081</v>
      </c>
      <c r="H100" s="207">
        <f t="shared" si="58"/>
        <v>4.428044280442804</v>
      </c>
      <c r="I100" s="207">
        <f t="shared" si="58"/>
        <v>8.4870848708487081</v>
      </c>
      <c r="J100" s="207">
        <f t="shared" si="58"/>
        <v>22.140221402214021</v>
      </c>
      <c r="K100" s="207">
        <f t="shared" si="58"/>
        <v>3.3210332103321036</v>
      </c>
      <c r="L100" s="207">
        <f t="shared" si="58"/>
        <v>1.4760147601476015</v>
      </c>
      <c r="M100" s="207">
        <f t="shared" si="58"/>
        <v>3.6900369003690034</v>
      </c>
      <c r="N100" s="207">
        <f t="shared" si="58"/>
        <v>15.498154981549817</v>
      </c>
      <c r="O100" s="207">
        <f t="shared" si="58"/>
        <v>4.7970479704797047</v>
      </c>
      <c r="P100" s="207">
        <f t="shared" si="58"/>
        <v>16.974169741697416</v>
      </c>
      <c r="Q100" s="207">
        <f t="shared" si="58"/>
        <v>14.391143911439114</v>
      </c>
      <c r="R100" s="207">
        <f t="shared" si="58"/>
        <v>10.332103321033211</v>
      </c>
      <c r="S100" s="207">
        <f t="shared" si="58"/>
        <v>11.07011070110701</v>
      </c>
      <c r="T100" s="207">
        <f t="shared" si="58"/>
        <v>4.428044280442804</v>
      </c>
      <c r="U100" s="207">
        <f t="shared" si="58"/>
        <v>8.4870848708487081</v>
      </c>
      <c r="V100" s="207">
        <f t="shared" si="58"/>
        <v>9.2250922509225095</v>
      </c>
      <c r="W100" s="207">
        <f t="shared" si="58"/>
        <v>8.8560885608856079</v>
      </c>
      <c r="X100" s="207">
        <f t="shared" si="58"/>
        <v>6.2730627306273057</v>
      </c>
      <c r="Y100" s="207">
        <f t="shared" si="58"/>
        <v>9.9630996309963091</v>
      </c>
      <c r="Z100" s="207">
        <f t="shared" si="58"/>
        <v>3.3210332103321036</v>
      </c>
      <c r="AA100" s="207">
        <f t="shared" si="58"/>
        <v>3.3210332103321036</v>
      </c>
      <c r="AB100" s="207">
        <f t="shared" si="58"/>
        <v>9.5940959409594093</v>
      </c>
      <c r="AC100" s="207">
        <f t="shared" si="58"/>
        <v>3.3210332103321036</v>
      </c>
      <c r="AD100" s="207">
        <f t="shared" si="58"/>
        <v>4.0590405904059041</v>
      </c>
      <c r="AE100" s="207">
        <f t="shared" si="58"/>
        <v>19.926199261992618</v>
      </c>
      <c r="AF100" s="207">
        <f t="shared" si="58"/>
        <v>7.0110701107011062</v>
      </c>
      <c r="AG100" s="207">
        <f t="shared" si="58"/>
        <v>8.1180811808118083</v>
      </c>
      <c r="AH100" s="207">
        <f t="shared" si="58"/>
        <v>3.3210332103321036</v>
      </c>
      <c r="AI100" s="207">
        <f t="shared" si="58"/>
        <v>2.5830258302583027</v>
      </c>
      <c r="AJ100" s="207">
        <f t="shared" si="58"/>
        <v>1.8450184501845017</v>
      </c>
      <c r="AK100" s="207">
        <f t="shared" si="58"/>
        <v>21.033210332103323</v>
      </c>
      <c r="AL100" s="207">
        <f t="shared" si="58"/>
        <v>13.653136531365314</v>
      </c>
      <c r="AM100" s="208"/>
      <c r="AN100" s="195"/>
    </row>
    <row r="101" spans="1:43" x14ac:dyDescent="0.2">
      <c r="A101" s="269" t="str">
        <f>'問10-1M（表）'!A101</f>
        <v>飛騨圏域(n = 106 )　　</v>
      </c>
      <c r="B101" s="34">
        <f>'問9S（表）'!B63</f>
        <v>106</v>
      </c>
      <c r="C101" s="31">
        <v>12</v>
      </c>
      <c r="D101" s="32">
        <v>9</v>
      </c>
      <c r="E101" s="32">
        <v>6</v>
      </c>
      <c r="F101" s="32">
        <v>10</v>
      </c>
      <c r="G101" s="32">
        <v>6</v>
      </c>
      <c r="H101" s="32">
        <v>5</v>
      </c>
      <c r="I101" s="32">
        <v>3</v>
      </c>
      <c r="J101" s="32">
        <v>33</v>
      </c>
      <c r="K101" s="32">
        <v>6</v>
      </c>
      <c r="L101" s="32">
        <v>1</v>
      </c>
      <c r="M101" s="32">
        <v>1</v>
      </c>
      <c r="N101" s="32">
        <v>12</v>
      </c>
      <c r="O101" s="32">
        <v>9</v>
      </c>
      <c r="P101" s="32">
        <v>22</v>
      </c>
      <c r="Q101" s="32">
        <v>18</v>
      </c>
      <c r="R101" s="32">
        <v>10</v>
      </c>
      <c r="S101" s="32">
        <v>10</v>
      </c>
      <c r="T101" s="32">
        <v>1</v>
      </c>
      <c r="U101" s="32">
        <v>6</v>
      </c>
      <c r="V101" s="32">
        <v>5</v>
      </c>
      <c r="W101" s="32">
        <v>12</v>
      </c>
      <c r="X101" s="32">
        <v>8</v>
      </c>
      <c r="Y101" s="32">
        <v>11</v>
      </c>
      <c r="Z101" s="32">
        <v>3</v>
      </c>
      <c r="AA101" s="32">
        <v>7</v>
      </c>
      <c r="AB101" s="32">
        <v>11</v>
      </c>
      <c r="AC101" s="32">
        <v>6</v>
      </c>
      <c r="AD101" s="32">
        <v>8</v>
      </c>
      <c r="AE101" s="32">
        <v>15</v>
      </c>
      <c r="AF101" s="32">
        <v>15</v>
      </c>
      <c r="AG101" s="32">
        <v>11</v>
      </c>
      <c r="AH101" s="32">
        <v>1</v>
      </c>
      <c r="AI101" s="32">
        <v>1</v>
      </c>
      <c r="AJ101" s="32">
        <v>4</v>
      </c>
      <c r="AK101" s="32">
        <v>26</v>
      </c>
      <c r="AL101" s="32">
        <v>10</v>
      </c>
      <c r="AM101" s="33"/>
      <c r="AN101" s="5">
        <f>SUM(C101:AM101)</f>
        <v>334</v>
      </c>
      <c r="AO101" t="str">
        <f>" 飛騨圏域（ n = "&amp;B101&amp;"）"</f>
        <v xml:space="preserve"> 飛騨圏域（ n = 106）</v>
      </c>
      <c r="AQ101">
        <v>5</v>
      </c>
    </row>
    <row r="102" spans="1:43" x14ac:dyDescent="0.2">
      <c r="A102" s="270"/>
      <c r="B102" s="35">
        <f>'問9S（表）'!B64</f>
        <v>6.5594059405940595</v>
      </c>
      <c r="C102" s="20">
        <f t="shared" ref="C102:AL102" si="59">C101/$B$101*100</f>
        <v>11.320754716981133</v>
      </c>
      <c r="D102" s="207">
        <f t="shared" si="59"/>
        <v>8.4905660377358494</v>
      </c>
      <c r="E102" s="207">
        <f t="shared" si="59"/>
        <v>5.6603773584905666</v>
      </c>
      <c r="F102" s="207">
        <f t="shared" si="59"/>
        <v>9.433962264150944</v>
      </c>
      <c r="G102" s="207">
        <f t="shared" si="59"/>
        <v>5.6603773584905666</v>
      </c>
      <c r="H102" s="207">
        <f t="shared" si="59"/>
        <v>4.716981132075472</v>
      </c>
      <c r="I102" s="207">
        <f t="shared" si="59"/>
        <v>2.8301886792452833</v>
      </c>
      <c r="J102" s="207">
        <f t="shared" si="59"/>
        <v>31.132075471698112</v>
      </c>
      <c r="K102" s="207">
        <f t="shared" si="59"/>
        <v>5.6603773584905666</v>
      </c>
      <c r="L102" s="207">
        <f t="shared" si="59"/>
        <v>0.94339622641509435</v>
      </c>
      <c r="M102" s="207">
        <f t="shared" si="59"/>
        <v>0.94339622641509435</v>
      </c>
      <c r="N102" s="207">
        <f t="shared" si="59"/>
        <v>11.320754716981133</v>
      </c>
      <c r="O102" s="207">
        <f t="shared" si="59"/>
        <v>8.4905660377358494</v>
      </c>
      <c r="P102" s="207">
        <f t="shared" si="59"/>
        <v>20.754716981132077</v>
      </c>
      <c r="Q102" s="207">
        <f t="shared" si="59"/>
        <v>16.981132075471699</v>
      </c>
      <c r="R102" s="207">
        <f t="shared" si="59"/>
        <v>9.433962264150944</v>
      </c>
      <c r="S102" s="207">
        <f t="shared" si="59"/>
        <v>9.433962264150944</v>
      </c>
      <c r="T102" s="207">
        <f t="shared" si="59"/>
        <v>0.94339622641509435</v>
      </c>
      <c r="U102" s="207">
        <f t="shared" si="59"/>
        <v>5.6603773584905666</v>
      </c>
      <c r="V102" s="207">
        <f t="shared" si="59"/>
        <v>4.716981132075472</v>
      </c>
      <c r="W102" s="207">
        <f t="shared" si="59"/>
        <v>11.320754716981133</v>
      </c>
      <c r="X102" s="207">
        <f t="shared" si="59"/>
        <v>7.5471698113207548</v>
      </c>
      <c r="Y102" s="207">
        <f t="shared" si="59"/>
        <v>10.377358490566039</v>
      </c>
      <c r="Z102" s="207">
        <f t="shared" si="59"/>
        <v>2.8301886792452833</v>
      </c>
      <c r="AA102" s="207">
        <f t="shared" si="59"/>
        <v>6.6037735849056602</v>
      </c>
      <c r="AB102" s="207">
        <f t="shared" si="59"/>
        <v>10.377358490566039</v>
      </c>
      <c r="AC102" s="207">
        <f t="shared" si="59"/>
        <v>5.6603773584905666</v>
      </c>
      <c r="AD102" s="207">
        <f t="shared" si="59"/>
        <v>7.5471698113207548</v>
      </c>
      <c r="AE102" s="207">
        <f t="shared" si="59"/>
        <v>14.150943396226415</v>
      </c>
      <c r="AF102" s="207">
        <f t="shared" si="59"/>
        <v>14.150943396226415</v>
      </c>
      <c r="AG102" s="207">
        <f t="shared" si="59"/>
        <v>10.377358490566039</v>
      </c>
      <c r="AH102" s="207">
        <f t="shared" si="59"/>
        <v>0.94339622641509435</v>
      </c>
      <c r="AI102" s="207">
        <f t="shared" si="59"/>
        <v>0.94339622641509435</v>
      </c>
      <c r="AJ102" s="207">
        <f t="shared" si="59"/>
        <v>3.7735849056603774</v>
      </c>
      <c r="AK102" s="207">
        <f t="shared" si="59"/>
        <v>24.528301886792452</v>
      </c>
      <c r="AL102" s="207">
        <f t="shared" si="59"/>
        <v>9.433962264150944</v>
      </c>
      <c r="AM102" s="208"/>
      <c r="AN102" s="237"/>
    </row>
    <row r="103" spans="1:43" s="186" customFormat="1" x14ac:dyDescent="0.2">
      <c r="A103" s="184"/>
      <c r="B103" s="182"/>
      <c r="C103" s="182">
        <v>8</v>
      </c>
      <c r="D103" s="182">
        <v>27</v>
      </c>
      <c r="E103" s="182">
        <v>16</v>
      </c>
      <c r="F103" s="182">
        <v>10</v>
      </c>
      <c r="G103" s="182">
        <v>23</v>
      </c>
      <c r="H103" s="182">
        <v>17</v>
      </c>
      <c r="I103" s="182">
        <v>26</v>
      </c>
      <c r="J103" s="182">
        <v>6</v>
      </c>
      <c r="K103" s="182">
        <v>33</v>
      </c>
      <c r="L103" s="182">
        <v>35</v>
      </c>
      <c r="M103" s="182">
        <v>36</v>
      </c>
      <c r="N103" s="182">
        <v>5</v>
      </c>
      <c r="O103" s="182">
        <v>21</v>
      </c>
      <c r="P103" s="182">
        <v>2</v>
      </c>
      <c r="Q103" s="182">
        <v>4</v>
      </c>
      <c r="R103" s="182">
        <v>14</v>
      </c>
      <c r="S103" s="182">
        <v>12</v>
      </c>
      <c r="T103" s="182">
        <v>31</v>
      </c>
      <c r="U103" s="182">
        <v>9</v>
      </c>
      <c r="V103" s="182">
        <v>15</v>
      </c>
      <c r="W103" s="182">
        <v>22</v>
      </c>
      <c r="X103" s="182">
        <v>18</v>
      </c>
      <c r="Y103" s="182">
        <v>11</v>
      </c>
      <c r="Z103" s="182">
        <v>30</v>
      </c>
      <c r="AA103" s="182">
        <v>28</v>
      </c>
      <c r="AB103" s="182">
        <v>7</v>
      </c>
      <c r="AC103" s="182">
        <v>24</v>
      </c>
      <c r="AD103" s="182">
        <v>25</v>
      </c>
      <c r="AE103" s="182">
        <v>3</v>
      </c>
      <c r="AF103" s="182">
        <v>20</v>
      </c>
      <c r="AG103" s="182">
        <v>19</v>
      </c>
      <c r="AH103" s="182">
        <v>34</v>
      </c>
      <c r="AI103" s="182">
        <v>29</v>
      </c>
      <c r="AJ103" s="182">
        <v>32</v>
      </c>
      <c r="AK103" s="182">
        <v>1</v>
      </c>
      <c r="AL103" s="182">
        <v>13</v>
      </c>
      <c r="AM103" s="182"/>
      <c r="AN103" s="182">
        <v>703</v>
      </c>
    </row>
    <row r="104" spans="1:43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5"/>
      <c r="AN104" s="195"/>
    </row>
    <row r="105" spans="1:43" x14ac:dyDescent="0.2">
      <c r="A105" s="6" t="s">
        <v>4</v>
      </c>
      <c r="B105" s="45"/>
      <c r="C105" s="182">
        <v>1</v>
      </c>
      <c r="D105" s="182">
        <v>2</v>
      </c>
      <c r="E105" s="182">
        <v>3</v>
      </c>
      <c r="F105" s="182">
        <v>3</v>
      </c>
      <c r="G105" s="182">
        <v>5</v>
      </c>
      <c r="H105" s="182">
        <v>6</v>
      </c>
      <c r="I105" s="182">
        <v>7</v>
      </c>
      <c r="J105" s="182">
        <v>8</v>
      </c>
      <c r="K105" s="182">
        <v>9</v>
      </c>
      <c r="L105" s="182">
        <v>10</v>
      </c>
      <c r="M105" s="182">
        <v>11</v>
      </c>
      <c r="N105" s="182">
        <v>12</v>
      </c>
      <c r="O105" s="182">
        <v>13</v>
      </c>
      <c r="P105" s="182">
        <v>14</v>
      </c>
      <c r="Q105" s="182">
        <v>15</v>
      </c>
      <c r="R105" s="182">
        <v>16</v>
      </c>
      <c r="S105" s="182">
        <v>17</v>
      </c>
      <c r="T105" s="182">
        <v>18</v>
      </c>
      <c r="U105" s="182">
        <v>19</v>
      </c>
      <c r="V105" s="182">
        <v>20</v>
      </c>
      <c r="W105" s="182">
        <v>21</v>
      </c>
      <c r="X105" s="182">
        <v>22</v>
      </c>
      <c r="Y105" s="182">
        <v>23</v>
      </c>
      <c r="Z105" s="182">
        <v>24</v>
      </c>
      <c r="AA105" s="182">
        <v>25</v>
      </c>
      <c r="AB105" s="182">
        <v>26</v>
      </c>
      <c r="AC105" s="182">
        <v>27</v>
      </c>
      <c r="AD105" s="197">
        <v>28</v>
      </c>
      <c r="AE105" s="182">
        <v>29</v>
      </c>
      <c r="AF105" s="182">
        <v>30</v>
      </c>
      <c r="AG105" s="182">
        <v>30</v>
      </c>
      <c r="AH105" s="182">
        <v>32</v>
      </c>
      <c r="AI105" s="182">
        <v>33</v>
      </c>
      <c r="AJ105" s="182">
        <v>34</v>
      </c>
      <c r="AK105" s="197">
        <v>35</v>
      </c>
      <c r="AL105" s="197">
        <v>36</v>
      </c>
      <c r="AM105" s="197">
        <v>37</v>
      </c>
    </row>
    <row r="106" spans="1:43" ht="43.2" x14ac:dyDescent="0.2">
      <c r="A106" s="13" t="s">
        <v>27</v>
      </c>
      <c r="B106" s="59" t="s">
        <v>157</v>
      </c>
      <c r="C106" s="60" t="s">
        <v>340</v>
      </c>
      <c r="D106" s="61" t="s">
        <v>351</v>
      </c>
      <c r="E106" s="61" t="s">
        <v>342</v>
      </c>
      <c r="F106" s="61" t="s">
        <v>365</v>
      </c>
      <c r="G106" s="61" t="s">
        <v>367</v>
      </c>
      <c r="H106" s="61" t="s">
        <v>366</v>
      </c>
      <c r="I106" s="61" t="s">
        <v>369</v>
      </c>
      <c r="J106" s="61" t="s">
        <v>335</v>
      </c>
      <c r="K106" s="61" t="s">
        <v>346</v>
      </c>
      <c r="L106" s="61" t="s">
        <v>337</v>
      </c>
      <c r="M106" s="61" t="s">
        <v>360</v>
      </c>
      <c r="N106" s="61" t="s">
        <v>368</v>
      </c>
      <c r="O106" s="61" t="s">
        <v>339</v>
      </c>
      <c r="P106" s="61" t="s">
        <v>344</v>
      </c>
      <c r="Q106" s="61" t="s">
        <v>343</v>
      </c>
      <c r="R106" s="61" t="s">
        <v>357</v>
      </c>
      <c r="S106" s="61" t="s">
        <v>361</v>
      </c>
      <c r="T106" s="61" t="s">
        <v>348</v>
      </c>
      <c r="U106" s="61" t="s">
        <v>358</v>
      </c>
      <c r="V106" s="61" t="s">
        <v>334</v>
      </c>
      <c r="W106" s="61" t="s">
        <v>364</v>
      </c>
      <c r="X106" s="61" t="s">
        <v>354</v>
      </c>
      <c r="Y106" s="61" t="s">
        <v>363</v>
      </c>
      <c r="Z106" s="61" t="s">
        <v>356</v>
      </c>
      <c r="AA106" s="61" t="s">
        <v>345</v>
      </c>
      <c r="AB106" s="61" t="s">
        <v>362</v>
      </c>
      <c r="AC106" s="61" t="s">
        <v>341</v>
      </c>
      <c r="AD106" s="61" t="s">
        <v>350</v>
      </c>
      <c r="AE106" s="61" t="s">
        <v>349</v>
      </c>
      <c r="AF106" s="61" t="s">
        <v>352</v>
      </c>
      <c r="AG106" s="61" t="s">
        <v>359</v>
      </c>
      <c r="AH106" s="61" t="s">
        <v>336</v>
      </c>
      <c r="AI106" s="61" t="s">
        <v>413</v>
      </c>
      <c r="AJ106" s="61" t="s">
        <v>347</v>
      </c>
      <c r="AK106" s="61" t="s">
        <v>338</v>
      </c>
      <c r="AL106" s="61" t="s">
        <v>353</v>
      </c>
      <c r="AM106" s="63" t="s">
        <v>0</v>
      </c>
      <c r="AN106" s="5" t="s">
        <v>118</v>
      </c>
    </row>
    <row r="107" spans="1:43" x14ac:dyDescent="0.2">
      <c r="A107" s="269" t="str">
        <f>A91</f>
        <v>全体(n = 1,616 )　　</v>
      </c>
      <c r="B107" s="224" t="str">
        <f>B91</f>
        <v>1,616</v>
      </c>
      <c r="C107" s="121">
        <v>340</v>
      </c>
      <c r="D107" s="122">
        <v>301</v>
      </c>
      <c r="E107" s="122">
        <v>291</v>
      </c>
      <c r="F107" s="122">
        <v>252</v>
      </c>
      <c r="G107" s="122">
        <v>223</v>
      </c>
      <c r="H107" s="122">
        <v>214</v>
      </c>
      <c r="I107" s="122">
        <v>191</v>
      </c>
      <c r="J107" s="122">
        <v>179</v>
      </c>
      <c r="K107" s="122">
        <v>179</v>
      </c>
      <c r="L107" s="122">
        <v>178</v>
      </c>
      <c r="M107" s="122">
        <v>176</v>
      </c>
      <c r="N107" s="122">
        <v>174</v>
      </c>
      <c r="O107" s="122">
        <v>159</v>
      </c>
      <c r="P107" s="122">
        <v>154</v>
      </c>
      <c r="Q107" s="122">
        <v>152</v>
      </c>
      <c r="R107" s="122">
        <v>141</v>
      </c>
      <c r="S107" s="122">
        <v>140</v>
      </c>
      <c r="T107" s="122">
        <v>139</v>
      </c>
      <c r="U107" s="122">
        <v>135</v>
      </c>
      <c r="V107" s="122">
        <v>115</v>
      </c>
      <c r="W107" s="122">
        <v>113</v>
      </c>
      <c r="X107" s="122">
        <v>110</v>
      </c>
      <c r="Y107" s="122">
        <v>109</v>
      </c>
      <c r="Z107" s="122">
        <v>108</v>
      </c>
      <c r="AA107" s="122">
        <v>105</v>
      </c>
      <c r="AB107" s="122">
        <v>83</v>
      </c>
      <c r="AC107" s="122">
        <v>72</v>
      </c>
      <c r="AD107" s="122">
        <v>72</v>
      </c>
      <c r="AE107" s="122">
        <v>66</v>
      </c>
      <c r="AF107" s="122">
        <v>57</v>
      </c>
      <c r="AG107" s="122">
        <v>55</v>
      </c>
      <c r="AH107" s="122">
        <v>53</v>
      </c>
      <c r="AI107" s="122">
        <v>53</v>
      </c>
      <c r="AJ107" s="122">
        <v>46</v>
      </c>
      <c r="AK107" s="122">
        <v>42</v>
      </c>
      <c r="AL107" s="122">
        <v>40</v>
      </c>
      <c r="AM107" s="124"/>
      <c r="AN107" s="5">
        <f>SUM(C107:AM107)</f>
        <v>5017</v>
      </c>
    </row>
    <row r="108" spans="1:43" x14ac:dyDescent="0.2">
      <c r="A108" s="270"/>
      <c r="B108" s="114">
        <f t="shared" ref="B108:B118" si="60">B92</f>
        <v>100</v>
      </c>
      <c r="C108" s="125">
        <v>21.03960396039604</v>
      </c>
      <c r="D108" s="126">
        <v>18.626237623762375</v>
      </c>
      <c r="E108" s="126">
        <v>18.007425742574256</v>
      </c>
      <c r="F108" s="126">
        <v>15.594059405940595</v>
      </c>
      <c r="G108" s="126">
        <v>13.79950495049505</v>
      </c>
      <c r="H108" s="126">
        <v>13.242574257425744</v>
      </c>
      <c r="I108" s="126">
        <v>11.819306930693068</v>
      </c>
      <c r="J108" s="126">
        <v>11.076732673267326</v>
      </c>
      <c r="K108" s="126">
        <v>11.076732673267326</v>
      </c>
      <c r="L108" s="126">
        <v>11.014851485148515</v>
      </c>
      <c r="M108" s="126">
        <v>10.891089108910892</v>
      </c>
      <c r="N108" s="126">
        <v>10.767326732673267</v>
      </c>
      <c r="O108" s="126">
        <v>9.8391089108910901</v>
      </c>
      <c r="P108" s="126">
        <v>9.5297029702970306</v>
      </c>
      <c r="Q108" s="126">
        <v>9.4059405940594054</v>
      </c>
      <c r="R108" s="126">
        <v>8.7252475247524739</v>
      </c>
      <c r="S108" s="126">
        <v>8.6633663366336631</v>
      </c>
      <c r="T108" s="126">
        <v>8.6014851485148505</v>
      </c>
      <c r="U108" s="126">
        <v>8.3539603960396036</v>
      </c>
      <c r="V108" s="126">
        <v>7.1163366336633658</v>
      </c>
      <c r="W108" s="126">
        <v>6.9925742574257432</v>
      </c>
      <c r="X108" s="126">
        <v>6.8069306930693072</v>
      </c>
      <c r="Y108" s="126">
        <v>6.7450495049504955</v>
      </c>
      <c r="Z108" s="126">
        <v>6.6831683168316838</v>
      </c>
      <c r="AA108" s="126">
        <v>6.4975247524752477</v>
      </c>
      <c r="AB108" s="126">
        <v>5.1361386138613856</v>
      </c>
      <c r="AC108" s="126">
        <v>4.455445544554455</v>
      </c>
      <c r="AD108" s="126">
        <v>4.455445544554455</v>
      </c>
      <c r="AE108" s="126">
        <v>4.0841584158415847</v>
      </c>
      <c r="AF108" s="126">
        <v>3.527227722772277</v>
      </c>
      <c r="AG108" s="126">
        <v>3.4034653465346536</v>
      </c>
      <c r="AH108" s="126">
        <v>3.2797029702970297</v>
      </c>
      <c r="AI108" s="126">
        <v>3.2797029702970297</v>
      </c>
      <c r="AJ108" s="126">
        <v>2.8465346534653468</v>
      </c>
      <c r="AK108" s="126">
        <v>2.5990099009900991</v>
      </c>
      <c r="AL108" s="126">
        <v>2.4752475247524752</v>
      </c>
      <c r="AM108" s="128"/>
      <c r="AN108" s="195"/>
    </row>
    <row r="109" spans="1:43" x14ac:dyDescent="0.2">
      <c r="A109" s="269" t="str">
        <f>A93</f>
        <v>岐阜圏域(n = 617 )　　</v>
      </c>
      <c r="B109" s="113">
        <f t="shared" si="60"/>
        <v>617</v>
      </c>
      <c r="C109" s="129">
        <v>119</v>
      </c>
      <c r="D109" s="130">
        <v>120</v>
      </c>
      <c r="E109" s="130">
        <v>119</v>
      </c>
      <c r="F109" s="130">
        <v>105</v>
      </c>
      <c r="G109" s="130">
        <v>78</v>
      </c>
      <c r="H109" s="130">
        <v>54</v>
      </c>
      <c r="I109" s="130">
        <v>79</v>
      </c>
      <c r="J109" s="130">
        <v>70</v>
      </c>
      <c r="K109" s="130">
        <v>60</v>
      </c>
      <c r="L109" s="130">
        <v>75</v>
      </c>
      <c r="M109" s="130">
        <v>81</v>
      </c>
      <c r="N109" s="130">
        <v>69</v>
      </c>
      <c r="O109" s="130">
        <v>54</v>
      </c>
      <c r="P109" s="130">
        <v>60</v>
      </c>
      <c r="Q109" s="130">
        <v>64</v>
      </c>
      <c r="R109" s="130">
        <v>55</v>
      </c>
      <c r="S109" s="130">
        <v>59</v>
      </c>
      <c r="T109" s="130">
        <v>43</v>
      </c>
      <c r="U109" s="130">
        <v>49</v>
      </c>
      <c r="V109" s="130">
        <v>45</v>
      </c>
      <c r="W109" s="130">
        <v>48</v>
      </c>
      <c r="X109" s="130">
        <v>42</v>
      </c>
      <c r="Y109" s="130">
        <v>42</v>
      </c>
      <c r="Z109" s="130">
        <v>39</v>
      </c>
      <c r="AA109" s="130">
        <v>39</v>
      </c>
      <c r="AB109" s="130">
        <v>20</v>
      </c>
      <c r="AC109" s="130">
        <v>29</v>
      </c>
      <c r="AD109" s="130">
        <v>27</v>
      </c>
      <c r="AE109" s="130">
        <v>24</v>
      </c>
      <c r="AF109" s="130">
        <v>30</v>
      </c>
      <c r="AG109" s="130">
        <v>19</v>
      </c>
      <c r="AH109" s="130">
        <v>12</v>
      </c>
      <c r="AI109" s="130">
        <v>23</v>
      </c>
      <c r="AJ109" s="130">
        <v>18</v>
      </c>
      <c r="AK109" s="130">
        <v>16</v>
      </c>
      <c r="AL109" s="130">
        <v>16</v>
      </c>
      <c r="AM109" s="131"/>
      <c r="AN109" s="5">
        <f>SUM(C109:AM109)</f>
        <v>1902</v>
      </c>
    </row>
    <row r="110" spans="1:43" x14ac:dyDescent="0.2">
      <c r="A110" s="270"/>
      <c r="B110" s="114">
        <f t="shared" si="60"/>
        <v>38.180693069306933</v>
      </c>
      <c r="C110" s="125">
        <v>19.286871961102108</v>
      </c>
      <c r="D110" s="126">
        <v>19.448946515397083</v>
      </c>
      <c r="E110" s="126">
        <v>19.286871961102108</v>
      </c>
      <c r="F110" s="126">
        <v>17.017828200972449</v>
      </c>
      <c r="G110" s="126">
        <v>12.641815235008103</v>
      </c>
      <c r="H110" s="126">
        <v>8.7520259319286886</v>
      </c>
      <c r="I110" s="126">
        <v>12.80388978930308</v>
      </c>
      <c r="J110" s="126">
        <v>11.345218800648297</v>
      </c>
      <c r="K110" s="126">
        <v>9.7244732576985413</v>
      </c>
      <c r="L110" s="126">
        <v>12.155591572123177</v>
      </c>
      <c r="M110" s="126">
        <v>13.128038897893029</v>
      </c>
      <c r="N110" s="126">
        <v>11.183144246353322</v>
      </c>
      <c r="O110" s="126">
        <v>8.7520259319286886</v>
      </c>
      <c r="P110" s="126">
        <v>9.7244732576985413</v>
      </c>
      <c r="Q110" s="126">
        <v>10.372771474878444</v>
      </c>
      <c r="R110" s="126">
        <v>8.9141004862236617</v>
      </c>
      <c r="S110" s="126">
        <v>9.5623987034035665</v>
      </c>
      <c r="T110" s="126">
        <v>6.9692058346839545</v>
      </c>
      <c r="U110" s="126">
        <v>7.9416531604538081</v>
      </c>
      <c r="V110" s="126">
        <v>7.2933549432739051</v>
      </c>
      <c r="W110" s="126">
        <v>7.7795786061588341</v>
      </c>
      <c r="X110" s="126">
        <v>6.8071312803889779</v>
      </c>
      <c r="Y110" s="126">
        <v>6.8071312803889779</v>
      </c>
      <c r="Z110" s="126">
        <v>6.3209076175040515</v>
      </c>
      <c r="AA110" s="126">
        <v>6.3209076175040515</v>
      </c>
      <c r="AB110" s="126">
        <v>3.2414910858995136</v>
      </c>
      <c r="AC110" s="126">
        <v>4.7001620745542949</v>
      </c>
      <c r="AD110" s="126">
        <v>4.3760129659643443</v>
      </c>
      <c r="AE110" s="126">
        <v>3.8897893030794171</v>
      </c>
      <c r="AF110" s="126">
        <v>4.8622366288492707</v>
      </c>
      <c r="AG110" s="126">
        <v>3.0794165316045379</v>
      </c>
      <c r="AH110" s="126">
        <v>1.9448946515397085</v>
      </c>
      <c r="AI110" s="126">
        <v>3.7277147487844409</v>
      </c>
      <c r="AJ110" s="126">
        <v>2.9173419773095626</v>
      </c>
      <c r="AK110" s="126">
        <v>2.5931928687196111</v>
      </c>
      <c r="AL110" s="126">
        <v>2.5931928687196111</v>
      </c>
      <c r="AM110" s="128"/>
      <c r="AN110" s="195"/>
    </row>
    <row r="111" spans="1:43" ht="13.5" customHeight="1" x14ac:dyDescent="0.2">
      <c r="A111" s="269" t="str">
        <f>A95</f>
        <v>西濃圏域(n = 290 )　　</v>
      </c>
      <c r="B111" s="113">
        <f t="shared" si="60"/>
        <v>290</v>
      </c>
      <c r="C111" s="129">
        <v>66</v>
      </c>
      <c r="D111" s="130">
        <v>56</v>
      </c>
      <c r="E111" s="130">
        <v>52</v>
      </c>
      <c r="F111" s="130">
        <v>41</v>
      </c>
      <c r="G111" s="130">
        <v>52</v>
      </c>
      <c r="H111" s="130">
        <v>33</v>
      </c>
      <c r="I111" s="130">
        <v>37</v>
      </c>
      <c r="J111" s="130">
        <v>34</v>
      </c>
      <c r="K111" s="130">
        <v>36</v>
      </c>
      <c r="L111" s="130">
        <v>37</v>
      </c>
      <c r="M111" s="130">
        <v>32</v>
      </c>
      <c r="N111" s="130">
        <v>33</v>
      </c>
      <c r="O111" s="130">
        <v>33</v>
      </c>
      <c r="P111" s="130">
        <v>32</v>
      </c>
      <c r="Q111" s="130">
        <v>29</v>
      </c>
      <c r="R111" s="130">
        <v>24</v>
      </c>
      <c r="S111" s="130">
        <v>23</v>
      </c>
      <c r="T111" s="130">
        <v>26</v>
      </c>
      <c r="U111" s="130">
        <v>25</v>
      </c>
      <c r="V111" s="130">
        <v>22</v>
      </c>
      <c r="W111" s="130">
        <v>26</v>
      </c>
      <c r="X111" s="130">
        <v>20</v>
      </c>
      <c r="Y111" s="130">
        <v>24</v>
      </c>
      <c r="Z111" s="130">
        <v>19</v>
      </c>
      <c r="AA111" s="130">
        <v>21</v>
      </c>
      <c r="AB111" s="130">
        <v>14</v>
      </c>
      <c r="AC111" s="130">
        <v>15</v>
      </c>
      <c r="AD111" s="130">
        <v>16</v>
      </c>
      <c r="AE111" s="130">
        <v>4</v>
      </c>
      <c r="AF111" s="130">
        <v>9</v>
      </c>
      <c r="AG111" s="130">
        <v>9</v>
      </c>
      <c r="AH111" s="130">
        <v>9</v>
      </c>
      <c r="AI111" s="130">
        <v>9</v>
      </c>
      <c r="AJ111" s="130">
        <v>10</v>
      </c>
      <c r="AK111" s="130">
        <v>6</v>
      </c>
      <c r="AL111" s="130">
        <v>5</v>
      </c>
      <c r="AM111" s="131"/>
      <c r="AN111" s="5">
        <f>SUM(C111:AM111)</f>
        <v>939</v>
      </c>
    </row>
    <row r="112" spans="1:43" x14ac:dyDescent="0.2">
      <c r="A112" s="270"/>
      <c r="B112" s="114">
        <f t="shared" si="60"/>
        <v>17.945544554455445</v>
      </c>
      <c r="C112" s="125">
        <v>22.758620689655174</v>
      </c>
      <c r="D112" s="126">
        <v>19.310344827586206</v>
      </c>
      <c r="E112" s="126">
        <v>17.931034482758619</v>
      </c>
      <c r="F112" s="126">
        <v>14.13793103448276</v>
      </c>
      <c r="G112" s="126">
        <v>17.931034482758619</v>
      </c>
      <c r="H112" s="126">
        <v>11.379310344827587</v>
      </c>
      <c r="I112" s="126">
        <v>12.758620689655173</v>
      </c>
      <c r="J112" s="126">
        <v>11.724137931034482</v>
      </c>
      <c r="K112" s="126">
        <v>12.413793103448276</v>
      </c>
      <c r="L112" s="126">
        <v>12.758620689655173</v>
      </c>
      <c r="M112" s="126">
        <v>11.03448275862069</v>
      </c>
      <c r="N112" s="126">
        <v>11.379310344827587</v>
      </c>
      <c r="O112" s="126">
        <v>11.379310344827587</v>
      </c>
      <c r="P112" s="126">
        <v>11.03448275862069</v>
      </c>
      <c r="Q112" s="126">
        <v>10</v>
      </c>
      <c r="R112" s="126">
        <v>8.2758620689655178</v>
      </c>
      <c r="S112" s="126">
        <v>7.931034482758621</v>
      </c>
      <c r="T112" s="126">
        <v>8.9655172413793096</v>
      </c>
      <c r="U112" s="126">
        <v>8.6206896551724146</v>
      </c>
      <c r="V112" s="126">
        <v>7.5862068965517242</v>
      </c>
      <c r="W112" s="126">
        <v>8.9655172413793096</v>
      </c>
      <c r="X112" s="126">
        <v>6.8965517241379306</v>
      </c>
      <c r="Y112" s="126">
        <v>8.2758620689655178</v>
      </c>
      <c r="Z112" s="126">
        <v>6.5517241379310347</v>
      </c>
      <c r="AA112" s="126">
        <v>7.2413793103448283</v>
      </c>
      <c r="AB112" s="126">
        <v>4.8275862068965516</v>
      </c>
      <c r="AC112" s="126">
        <v>5.1724137931034484</v>
      </c>
      <c r="AD112" s="126">
        <v>5.5172413793103452</v>
      </c>
      <c r="AE112" s="126">
        <v>1.3793103448275863</v>
      </c>
      <c r="AF112" s="126">
        <v>3.103448275862069</v>
      </c>
      <c r="AG112" s="126">
        <v>3.103448275862069</v>
      </c>
      <c r="AH112" s="126">
        <v>3.103448275862069</v>
      </c>
      <c r="AI112" s="126">
        <v>3.103448275862069</v>
      </c>
      <c r="AJ112" s="126">
        <v>3.4482758620689653</v>
      </c>
      <c r="AK112" s="126">
        <v>2.0689655172413794</v>
      </c>
      <c r="AL112" s="126">
        <v>1.7241379310344827</v>
      </c>
      <c r="AM112" s="128"/>
      <c r="AN112" s="195"/>
    </row>
    <row r="113" spans="1:40" ht="13.5" customHeight="1" x14ac:dyDescent="0.2">
      <c r="A113" s="269" t="str">
        <f>A97</f>
        <v>中濃圏域(n = 300 )　　</v>
      </c>
      <c r="B113" s="113">
        <f t="shared" si="60"/>
        <v>300</v>
      </c>
      <c r="C113" s="129">
        <v>65</v>
      </c>
      <c r="D113" s="130">
        <v>53</v>
      </c>
      <c r="E113" s="130">
        <v>47</v>
      </c>
      <c r="F113" s="130">
        <v>44</v>
      </c>
      <c r="G113" s="130">
        <v>36</v>
      </c>
      <c r="H113" s="130">
        <v>33</v>
      </c>
      <c r="I113" s="130">
        <v>38</v>
      </c>
      <c r="J113" s="130">
        <v>35</v>
      </c>
      <c r="K113" s="130">
        <v>33</v>
      </c>
      <c r="L113" s="130">
        <v>25</v>
      </c>
      <c r="M113" s="130">
        <v>30</v>
      </c>
      <c r="N113" s="130">
        <v>32</v>
      </c>
      <c r="O113" s="130">
        <v>39</v>
      </c>
      <c r="P113" s="130">
        <v>19</v>
      </c>
      <c r="Q113" s="130">
        <v>25</v>
      </c>
      <c r="R113" s="130">
        <v>28</v>
      </c>
      <c r="S113" s="130">
        <v>31</v>
      </c>
      <c r="T113" s="130">
        <v>29</v>
      </c>
      <c r="U113" s="130">
        <v>26</v>
      </c>
      <c r="V113" s="130">
        <v>21</v>
      </c>
      <c r="W113" s="130">
        <v>21</v>
      </c>
      <c r="X113" s="130">
        <v>22</v>
      </c>
      <c r="Y113" s="130">
        <v>26</v>
      </c>
      <c r="Z113" s="130">
        <v>23</v>
      </c>
      <c r="AA113" s="130">
        <v>23</v>
      </c>
      <c r="AB113" s="130">
        <v>21</v>
      </c>
      <c r="AC113" s="130">
        <v>13</v>
      </c>
      <c r="AD113" s="130">
        <v>17</v>
      </c>
      <c r="AE113" s="130">
        <v>19</v>
      </c>
      <c r="AF113" s="130">
        <v>9</v>
      </c>
      <c r="AG113" s="130">
        <v>12</v>
      </c>
      <c r="AH113" s="130">
        <v>15</v>
      </c>
      <c r="AI113" s="130">
        <v>12</v>
      </c>
      <c r="AJ113" s="130">
        <v>8</v>
      </c>
      <c r="AK113" s="130">
        <v>9</v>
      </c>
      <c r="AL113" s="130">
        <v>14</v>
      </c>
      <c r="AM113" s="131"/>
      <c r="AN113" s="5">
        <f>SUM(C113:AM113)</f>
        <v>953</v>
      </c>
    </row>
    <row r="114" spans="1:40" x14ac:dyDescent="0.2">
      <c r="A114" s="270"/>
      <c r="B114" s="114">
        <f t="shared" si="60"/>
        <v>18.564356435643564</v>
      </c>
      <c r="C114" s="125">
        <v>21.666666666666668</v>
      </c>
      <c r="D114" s="126">
        <v>17.666666666666668</v>
      </c>
      <c r="E114" s="126">
        <v>15.666666666666668</v>
      </c>
      <c r="F114" s="126">
        <v>14.666666666666666</v>
      </c>
      <c r="G114" s="126">
        <v>12</v>
      </c>
      <c r="H114" s="126">
        <v>11</v>
      </c>
      <c r="I114" s="126">
        <v>12.666666666666668</v>
      </c>
      <c r="J114" s="126">
        <v>11.666666666666666</v>
      </c>
      <c r="K114" s="126">
        <v>11</v>
      </c>
      <c r="L114" s="126">
        <v>8.3333333333333321</v>
      </c>
      <c r="M114" s="126">
        <v>10</v>
      </c>
      <c r="N114" s="126">
        <v>10.666666666666668</v>
      </c>
      <c r="O114" s="126">
        <v>13</v>
      </c>
      <c r="P114" s="126">
        <v>6.3333333333333339</v>
      </c>
      <c r="Q114" s="126">
        <v>8.3333333333333321</v>
      </c>
      <c r="R114" s="126">
        <v>9.3333333333333339</v>
      </c>
      <c r="S114" s="126">
        <v>10.333333333333334</v>
      </c>
      <c r="T114" s="126">
        <v>9.6666666666666661</v>
      </c>
      <c r="U114" s="126">
        <v>8.6666666666666679</v>
      </c>
      <c r="V114" s="126">
        <v>7.0000000000000009</v>
      </c>
      <c r="W114" s="126">
        <v>7.0000000000000009</v>
      </c>
      <c r="X114" s="126">
        <v>7.333333333333333</v>
      </c>
      <c r="Y114" s="126">
        <v>8.6666666666666679</v>
      </c>
      <c r="Z114" s="126">
        <v>7.6666666666666661</v>
      </c>
      <c r="AA114" s="126">
        <v>7.6666666666666661</v>
      </c>
      <c r="AB114" s="126">
        <v>7.0000000000000009</v>
      </c>
      <c r="AC114" s="126">
        <v>4.3333333333333339</v>
      </c>
      <c r="AD114" s="126">
        <v>5.6666666666666661</v>
      </c>
      <c r="AE114" s="126">
        <v>6.3333333333333339</v>
      </c>
      <c r="AF114" s="126">
        <v>3</v>
      </c>
      <c r="AG114" s="126">
        <v>4</v>
      </c>
      <c r="AH114" s="126">
        <v>5</v>
      </c>
      <c r="AI114" s="126">
        <v>4</v>
      </c>
      <c r="AJ114" s="126">
        <v>2.666666666666667</v>
      </c>
      <c r="AK114" s="126">
        <v>3</v>
      </c>
      <c r="AL114" s="126">
        <v>4.666666666666667</v>
      </c>
      <c r="AM114" s="128"/>
      <c r="AN114" s="195"/>
    </row>
    <row r="115" spans="1:40" ht="13.5" customHeight="1" x14ac:dyDescent="0.2">
      <c r="A115" s="269" t="str">
        <f>A99</f>
        <v>東濃圏域(n = 271 )　　</v>
      </c>
      <c r="B115" s="113">
        <f t="shared" si="60"/>
        <v>271</v>
      </c>
      <c r="C115" s="129">
        <v>57</v>
      </c>
      <c r="D115" s="130">
        <v>54</v>
      </c>
      <c r="E115" s="130">
        <v>46</v>
      </c>
      <c r="F115" s="130">
        <v>39</v>
      </c>
      <c r="G115" s="130">
        <v>42</v>
      </c>
      <c r="H115" s="130">
        <v>60</v>
      </c>
      <c r="I115" s="130">
        <v>23</v>
      </c>
      <c r="J115" s="130">
        <v>24</v>
      </c>
      <c r="K115" s="130">
        <v>37</v>
      </c>
      <c r="L115" s="130">
        <v>27</v>
      </c>
      <c r="M115" s="130">
        <v>23</v>
      </c>
      <c r="N115" s="130">
        <v>26</v>
      </c>
      <c r="O115" s="130">
        <v>23</v>
      </c>
      <c r="P115" s="130">
        <v>30</v>
      </c>
      <c r="Q115" s="130">
        <v>25</v>
      </c>
      <c r="R115" s="130">
        <v>22</v>
      </c>
      <c r="S115" s="130">
        <v>16</v>
      </c>
      <c r="T115" s="130">
        <v>28</v>
      </c>
      <c r="U115" s="130">
        <v>19</v>
      </c>
      <c r="V115" s="130">
        <v>17</v>
      </c>
      <c r="W115" s="130">
        <v>12</v>
      </c>
      <c r="X115" s="130">
        <v>13</v>
      </c>
      <c r="Y115" s="130">
        <v>9</v>
      </c>
      <c r="Z115" s="130">
        <v>23</v>
      </c>
      <c r="AA115" s="130">
        <v>15</v>
      </c>
      <c r="AB115" s="130">
        <v>18</v>
      </c>
      <c r="AC115" s="130">
        <v>12</v>
      </c>
      <c r="AD115" s="130">
        <v>9</v>
      </c>
      <c r="AE115" s="130">
        <v>11</v>
      </c>
      <c r="AF115" s="130">
        <v>7</v>
      </c>
      <c r="AG115" s="130">
        <v>9</v>
      </c>
      <c r="AH115" s="130">
        <v>9</v>
      </c>
      <c r="AI115" s="130">
        <v>5</v>
      </c>
      <c r="AJ115" s="130">
        <v>9</v>
      </c>
      <c r="AK115" s="130">
        <v>10</v>
      </c>
      <c r="AL115" s="130">
        <v>4</v>
      </c>
      <c r="AM115" s="131"/>
      <c r="AN115" s="5">
        <f>SUM(C115:AM115)</f>
        <v>813</v>
      </c>
    </row>
    <row r="116" spans="1:40" x14ac:dyDescent="0.2">
      <c r="A116" s="270"/>
      <c r="B116" s="114">
        <f t="shared" si="60"/>
        <v>16.769801980198022</v>
      </c>
      <c r="C116" s="125">
        <v>21.033210332103323</v>
      </c>
      <c r="D116" s="126">
        <v>19.926199261992618</v>
      </c>
      <c r="E116" s="126">
        <v>16.974169741697416</v>
      </c>
      <c r="F116" s="126">
        <v>14.391143911439114</v>
      </c>
      <c r="G116" s="126">
        <v>15.498154981549817</v>
      </c>
      <c r="H116" s="126">
        <v>22.140221402214021</v>
      </c>
      <c r="I116" s="126">
        <v>8.4870848708487081</v>
      </c>
      <c r="J116" s="126">
        <v>8.8560885608856079</v>
      </c>
      <c r="K116" s="126">
        <v>13.653136531365314</v>
      </c>
      <c r="L116" s="126">
        <v>9.9630996309963091</v>
      </c>
      <c r="M116" s="126">
        <v>8.4870848708487081</v>
      </c>
      <c r="N116" s="126">
        <v>9.5940959409594093</v>
      </c>
      <c r="O116" s="126">
        <v>8.4870848708487081</v>
      </c>
      <c r="P116" s="126">
        <v>11.07011070110701</v>
      </c>
      <c r="Q116" s="126">
        <v>9.2250922509225095</v>
      </c>
      <c r="R116" s="126">
        <v>8.1180811808118083</v>
      </c>
      <c r="S116" s="126">
        <v>5.9040590405904059</v>
      </c>
      <c r="T116" s="126">
        <v>10.332103321033211</v>
      </c>
      <c r="U116" s="126">
        <v>7.0110701107011062</v>
      </c>
      <c r="V116" s="126">
        <v>6.2730627306273057</v>
      </c>
      <c r="W116" s="126">
        <v>4.428044280442804</v>
      </c>
      <c r="X116" s="126">
        <v>4.7970479704797047</v>
      </c>
      <c r="Y116" s="126">
        <v>3.3210332103321036</v>
      </c>
      <c r="Z116" s="126">
        <v>8.4870848708487081</v>
      </c>
      <c r="AA116" s="126">
        <v>5.5350553505535052</v>
      </c>
      <c r="AB116" s="126">
        <v>6.6420664206642073</v>
      </c>
      <c r="AC116" s="126">
        <v>4.428044280442804</v>
      </c>
      <c r="AD116" s="126">
        <v>3.3210332103321036</v>
      </c>
      <c r="AE116" s="126">
        <v>4.0590405904059041</v>
      </c>
      <c r="AF116" s="126">
        <v>2.5830258302583027</v>
      </c>
      <c r="AG116" s="126">
        <v>3.3210332103321036</v>
      </c>
      <c r="AH116" s="126">
        <v>3.3210332103321036</v>
      </c>
      <c r="AI116" s="126">
        <v>1.8450184501845017</v>
      </c>
      <c r="AJ116" s="126">
        <v>3.3210332103321036</v>
      </c>
      <c r="AK116" s="126">
        <v>3.6900369003690034</v>
      </c>
      <c r="AL116" s="126">
        <v>1.4760147601476015</v>
      </c>
      <c r="AM116" s="128"/>
      <c r="AN116" s="195"/>
    </row>
    <row r="117" spans="1:40" ht="13.5" customHeight="1" x14ac:dyDescent="0.2">
      <c r="A117" s="269" t="str">
        <f>A101</f>
        <v>飛騨圏域(n = 106 )　　</v>
      </c>
      <c r="B117" s="113">
        <f t="shared" si="60"/>
        <v>106</v>
      </c>
      <c r="C117" s="129">
        <v>26</v>
      </c>
      <c r="D117" s="130">
        <v>15</v>
      </c>
      <c r="E117" s="130">
        <v>22</v>
      </c>
      <c r="F117" s="130">
        <v>18</v>
      </c>
      <c r="G117" s="130">
        <v>12</v>
      </c>
      <c r="H117" s="130">
        <v>33</v>
      </c>
      <c r="I117" s="130">
        <v>12</v>
      </c>
      <c r="J117" s="130">
        <v>12</v>
      </c>
      <c r="K117" s="130">
        <v>10</v>
      </c>
      <c r="L117" s="130">
        <v>11</v>
      </c>
      <c r="M117" s="130">
        <v>6</v>
      </c>
      <c r="N117" s="130">
        <v>11</v>
      </c>
      <c r="O117" s="130">
        <v>6</v>
      </c>
      <c r="P117" s="130">
        <v>10</v>
      </c>
      <c r="Q117" s="130">
        <v>5</v>
      </c>
      <c r="R117" s="130">
        <v>11</v>
      </c>
      <c r="S117" s="130">
        <v>10</v>
      </c>
      <c r="T117" s="130">
        <v>10</v>
      </c>
      <c r="U117" s="130">
        <v>15</v>
      </c>
      <c r="V117" s="130">
        <v>8</v>
      </c>
      <c r="W117" s="130">
        <v>5</v>
      </c>
      <c r="X117" s="130">
        <v>9</v>
      </c>
      <c r="Y117" s="130">
        <v>6</v>
      </c>
      <c r="Z117" s="130">
        <v>3</v>
      </c>
      <c r="AA117" s="130">
        <v>6</v>
      </c>
      <c r="AB117" s="130">
        <v>9</v>
      </c>
      <c r="AC117" s="130">
        <v>1</v>
      </c>
      <c r="AD117" s="130">
        <v>3</v>
      </c>
      <c r="AE117" s="130">
        <v>8</v>
      </c>
      <c r="AF117" s="130">
        <v>1</v>
      </c>
      <c r="AG117" s="130">
        <v>6</v>
      </c>
      <c r="AH117" s="130">
        <v>7</v>
      </c>
      <c r="AI117" s="130">
        <v>4</v>
      </c>
      <c r="AJ117" s="130">
        <v>1</v>
      </c>
      <c r="AK117" s="130">
        <v>1</v>
      </c>
      <c r="AL117" s="130">
        <v>1</v>
      </c>
      <c r="AM117" s="131"/>
      <c r="AN117" s="5">
        <f>SUM(C117:AM117)</f>
        <v>334</v>
      </c>
    </row>
    <row r="118" spans="1:40" x14ac:dyDescent="0.2">
      <c r="A118" s="270"/>
      <c r="B118" s="114">
        <f t="shared" si="60"/>
        <v>6.5594059405940595</v>
      </c>
      <c r="C118" s="125">
        <v>24.528301886792452</v>
      </c>
      <c r="D118" s="126">
        <v>14.150943396226415</v>
      </c>
      <c r="E118" s="126">
        <v>20.754716981132077</v>
      </c>
      <c r="F118" s="126">
        <v>16.981132075471699</v>
      </c>
      <c r="G118" s="126">
        <v>11.320754716981133</v>
      </c>
      <c r="H118" s="126">
        <v>31.132075471698112</v>
      </c>
      <c r="I118" s="126">
        <v>11.320754716981133</v>
      </c>
      <c r="J118" s="126">
        <v>11.320754716981133</v>
      </c>
      <c r="K118" s="126">
        <v>9.433962264150944</v>
      </c>
      <c r="L118" s="126">
        <v>10.377358490566039</v>
      </c>
      <c r="M118" s="126">
        <v>5.6603773584905666</v>
      </c>
      <c r="N118" s="126">
        <v>10.377358490566039</v>
      </c>
      <c r="O118" s="126">
        <v>5.6603773584905666</v>
      </c>
      <c r="P118" s="126">
        <v>9.433962264150944</v>
      </c>
      <c r="Q118" s="126">
        <v>4.716981132075472</v>
      </c>
      <c r="R118" s="126">
        <v>10.377358490566039</v>
      </c>
      <c r="S118" s="126">
        <v>9.433962264150944</v>
      </c>
      <c r="T118" s="126">
        <v>9.433962264150944</v>
      </c>
      <c r="U118" s="126">
        <v>14.150943396226415</v>
      </c>
      <c r="V118" s="126">
        <v>7.5471698113207548</v>
      </c>
      <c r="W118" s="126">
        <v>4.716981132075472</v>
      </c>
      <c r="X118" s="126">
        <v>8.4905660377358494</v>
      </c>
      <c r="Y118" s="126">
        <v>5.6603773584905666</v>
      </c>
      <c r="Z118" s="126">
        <v>2.8301886792452833</v>
      </c>
      <c r="AA118" s="126">
        <v>5.6603773584905666</v>
      </c>
      <c r="AB118" s="126">
        <v>8.4905660377358494</v>
      </c>
      <c r="AC118" s="126">
        <v>0.94339622641509435</v>
      </c>
      <c r="AD118" s="126">
        <v>2.8301886792452833</v>
      </c>
      <c r="AE118" s="126">
        <v>7.5471698113207548</v>
      </c>
      <c r="AF118" s="126">
        <v>0.94339622641509435</v>
      </c>
      <c r="AG118" s="126">
        <v>5.6603773584905666</v>
      </c>
      <c r="AH118" s="126">
        <v>6.6037735849056602</v>
      </c>
      <c r="AI118" s="126">
        <v>3.7735849056603774</v>
      </c>
      <c r="AJ118" s="126">
        <v>0.94339622641509435</v>
      </c>
      <c r="AK118" s="126">
        <v>0.94339622641509435</v>
      </c>
      <c r="AL118" s="126">
        <v>0.94339622641509435</v>
      </c>
      <c r="AM118" s="128"/>
      <c r="AN118" s="237"/>
    </row>
    <row r="119" spans="1:40" s="186" customFormat="1" x14ac:dyDescent="0.2">
      <c r="A119" s="184"/>
      <c r="B119" s="182"/>
      <c r="C119" s="182">
        <v>1</v>
      </c>
      <c r="D119" s="182">
        <v>2</v>
      </c>
      <c r="E119" s="182">
        <v>3</v>
      </c>
      <c r="F119" s="182">
        <v>4</v>
      </c>
      <c r="G119" s="182">
        <v>5</v>
      </c>
      <c r="H119" s="182">
        <v>6</v>
      </c>
      <c r="I119" s="182">
        <v>7</v>
      </c>
      <c r="J119" s="182">
        <v>8</v>
      </c>
      <c r="K119" s="182">
        <v>8</v>
      </c>
      <c r="L119" s="182">
        <v>10</v>
      </c>
      <c r="M119" s="182">
        <v>11</v>
      </c>
      <c r="N119" s="182">
        <v>12</v>
      </c>
      <c r="O119" s="182">
        <v>13</v>
      </c>
      <c r="P119" s="182">
        <v>14</v>
      </c>
      <c r="Q119" s="182">
        <v>15</v>
      </c>
      <c r="R119" s="182">
        <v>16</v>
      </c>
      <c r="S119" s="182">
        <v>17</v>
      </c>
      <c r="T119" s="182">
        <v>18</v>
      </c>
      <c r="U119" s="182">
        <v>19</v>
      </c>
      <c r="V119" s="182">
        <v>20</v>
      </c>
      <c r="W119" s="182">
        <v>21</v>
      </c>
      <c r="X119" s="182">
        <v>22</v>
      </c>
      <c r="Y119" s="182">
        <v>23</v>
      </c>
      <c r="Z119" s="182">
        <v>24</v>
      </c>
      <c r="AA119" s="182">
        <v>25</v>
      </c>
      <c r="AB119" s="182">
        <v>26</v>
      </c>
      <c r="AC119" s="182">
        <v>27</v>
      </c>
      <c r="AD119" s="182">
        <v>27</v>
      </c>
      <c r="AE119" s="182">
        <v>29</v>
      </c>
      <c r="AF119" s="182">
        <v>30</v>
      </c>
      <c r="AG119" s="182">
        <v>31</v>
      </c>
      <c r="AH119" s="182">
        <v>32</v>
      </c>
      <c r="AI119" s="182">
        <v>32</v>
      </c>
      <c r="AJ119" s="185">
        <v>34</v>
      </c>
      <c r="AK119" s="185">
        <v>35</v>
      </c>
      <c r="AL119" s="185">
        <v>36</v>
      </c>
      <c r="AM119" s="185">
        <v>37</v>
      </c>
      <c r="AN119" s="182">
        <f>SUM(C119:AM119)</f>
        <v>700</v>
      </c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5"/>
    </row>
    <row r="121" spans="1:40" ht="12.75" customHeight="1" x14ac:dyDescent="0.2">
      <c r="A121" s="6" t="s">
        <v>370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O121" s="172">
        <v>1</v>
      </c>
      <c r="P121" s="172">
        <v>2</v>
      </c>
      <c r="Q121" s="172">
        <v>3</v>
      </c>
      <c r="R121" s="172">
        <v>4</v>
      </c>
      <c r="S121" s="172">
        <v>5</v>
      </c>
      <c r="T121" s="172">
        <v>6</v>
      </c>
      <c r="U121" s="172">
        <v>7</v>
      </c>
      <c r="V121" s="172">
        <v>8</v>
      </c>
      <c r="W121" s="172">
        <v>9</v>
      </c>
      <c r="X121" s="172">
        <v>10</v>
      </c>
    </row>
    <row r="122" spans="1:40" ht="43.2" x14ac:dyDescent="0.2">
      <c r="A122" s="12" t="str">
        <f>A90</f>
        <v>【居住圏域別】</v>
      </c>
      <c r="B122" s="59" t="str">
        <f>B71</f>
        <v>調査数</v>
      </c>
      <c r="C122" s="60" t="str">
        <f t="shared" ref="C122:L122" si="61">C106</f>
        <v>若者の県内定着</v>
      </c>
      <c r="D122" s="61" t="str">
        <f t="shared" si="61"/>
        <v>公共交通の充実</v>
      </c>
      <c r="E122" s="61" t="str">
        <f t="shared" si="61"/>
        <v>少子化対策</v>
      </c>
      <c r="F122" s="61" t="str">
        <f t="shared" si="61"/>
        <v>子育て支援</v>
      </c>
      <c r="G122" s="61" t="str">
        <f t="shared" si="61"/>
        <v>高齢者福祉</v>
      </c>
      <c r="H122" s="61" t="str">
        <f t="shared" si="61"/>
        <v>地域医療の確保</v>
      </c>
      <c r="I122" s="62" t="str">
        <f t="shared" si="61"/>
        <v>防災対策</v>
      </c>
      <c r="J122" s="61" t="str">
        <f t="shared" si="61"/>
        <v>労働環境改善</v>
      </c>
      <c r="K122" s="62" t="str">
        <f t="shared" si="61"/>
        <v>県外からの移住・定住の推進</v>
      </c>
      <c r="L122" s="63" t="str">
        <f t="shared" si="61"/>
        <v>女性の活躍推進</v>
      </c>
      <c r="M122" s="44" t="s">
        <v>32</v>
      </c>
      <c r="N122" s="12" t="str">
        <f>A122</f>
        <v>【居住圏域別】</v>
      </c>
      <c r="O122" s="60" t="str">
        <f t="shared" ref="O122:X122" si="62">C122</f>
        <v>若者の県内定着</v>
      </c>
      <c r="P122" s="61" t="str">
        <f t="shared" si="62"/>
        <v>公共交通の充実</v>
      </c>
      <c r="Q122" s="61" t="str">
        <f t="shared" si="62"/>
        <v>少子化対策</v>
      </c>
      <c r="R122" s="61" t="str">
        <f t="shared" si="62"/>
        <v>子育て支援</v>
      </c>
      <c r="S122" s="61" t="str">
        <f t="shared" si="62"/>
        <v>高齢者福祉</v>
      </c>
      <c r="T122" s="61" t="str">
        <f t="shared" si="62"/>
        <v>地域医療の確保</v>
      </c>
      <c r="U122" s="61" t="str">
        <f t="shared" si="62"/>
        <v>防災対策</v>
      </c>
      <c r="V122" s="61" t="str">
        <f t="shared" si="62"/>
        <v>労働環境改善</v>
      </c>
      <c r="W122" s="62" t="str">
        <f t="shared" si="62"/>
        <v>県外からの移住・定住の推進</v>
      </c>
      <c r="X122" s="63" t="str">
        <f t="shared" si="62"/>
        <v>女性の活躍推進</v>
      </c>
    </row>
    <row r="123" spans="1:40" ht="12.75" customHeight="1" x14ac:dyDescent="0.2">
      <c r="A123" s="269" t="str">
        <f>A91</f>
        <v>全体(n = 1,616 )　　</v>
      </c>
      <c r="B123" s="224" t="str">
        <f t="shared" ref="B123:B134" si="63">B91</f>
        <v>1,616</v>
      </c>
      <c r="C123" s="121">
        <f t="shared" ref="C123:L123" si="64">C107</f>
        <v>340</v>
      </c>
      <c r="D123" s="122">
        <f t="shared" si="64"/>
        <v>301</v>
      </c>
      <c r="E123" s="122">
        <f t="shared" si="64"/>
        <v>291</v>
      </c>
      <c r="F123" s="122">
        <f t="shared" si="64"/>
        <v>252</v>
      </c>
      <c r="G123" s="122">
        <f t="shared" si="64"/>
        <v>223</v>
      </c>
      <c r="H123" s="122">
        <f t="shared" si="64"/>
        <v>214</v>
      </c>
      <c r="I123" s="123">
        <f t="shared" si="64"/>
        <v>191</v>
      </c>
      <c r="J123" s="122">
        <f t="shared" si="64"/>
        <v>179</v>
      </c>
      <c r="K123" s="123">
        <f t="shared" si="64"/>
        <v>179</v>
      </c>
      <c r="L123" s="124">
        <f t="shared" si="64"/>
        <v>178</v>
      </c>
      <c r="N123" s="93" t="str">
        <f>A125</f>
        <v>岐阜圏域(n = 617 )　　</v>
      </c>
      <c r="O123" s="84">
        <f t="shared" ref="O123:X123" si="65">C126</f>
        <v>19.286871961102108</v>
      </c>
      <c r="P123" s="85">
        <f t="shared" si="65"/>
        <v>19.448946515397083</v>
      </c>
      <c r="Q123" s="85">
        <f t="shared" si="65"/>
        <v>19.286871961102108</v>
      </c>
      <c r="R123" s="85">
        <f t="shared" si="65"/>
        <v>17.017828200972449</v>
      </c>
      <c r="S123" s="85">
        <f t="shared" si="65"/>
        <v>12.641815235008103</v>
      </c>
      <c r="T123" s="85">
        <f t="shared" si="65"/>
        <v>8.7520259319286886</v>
      </c>
      <c r="U123" s="85">
        <f t="shared" si="65"/>
        <v>12.80388978930308</v>
      </c>
      <c r="V123" s="85">
        <f t="shared" si="65"/>
        <v>11.345218800648297</v>
      </c>
      <c r="W123" s="86">
        <f t="shared" si="65"/>
        <v>9.7244732576985413</v>
      </c>
      <c r="X123" s="87">
        <f t="shared" si="65"/>
        <v>12.155591572123177</v>
      </c>
    </row>
    <row r="124" spans="1:40" ht="12.75" customHeight="1" x14ac:dyDescent="0.2">
      <c r="A124" s="270"/>
      <c r="B124" s="114">
        <f t="shared" si="63"/>
        <v>100</v>
      </c>
      <c r="C124" s="125">
        <f t="shared" ref="C124:L124" si="66">C108</f>
        <v>21.03960396039604</v>
      </c>
      <c r="D124" s="126">
        <f t="shared" si="66"/>
        <v>18.626237623762375</v>
      </c>
      <c r="E124" s="126">
        <f t="shared" si="66"/>
        <v>18.007425742574256</v>
      </c>
      <c r="F124" s="126">
        <f t="shared" si="66"/>
        <v>15.594059405940595</v>
      </c>
      <c r="G124" s="126">
        <f t="shared" si="66"/>
        <v>13.79950495049505</v>
      </c>
      <c r="H124" s="126">
        <f t="shared" si="66"/>
        <v>13.242574257425744</v>
      </c>
      <c r="I124" s="127">
        <f t="shared" si="66"/>
        <v>11.819306930693068</v>
      </c>
      <c r="J124" s="126">
        <f t="shared" si="66"/>
        <v>11.076732673267326</v>
      </c>
      <c r="K124" s="127">
        <f t="shared" si="66"/>
        <v>11.076732673267326</v>
      </c>
      <c r="L124" s="128">
        <f t="shared" si="66"/>
        <v>11.014851485148515</v>
      </c>
      <c r="N124" s="95" t="str">
        <f>A127</f>
        <v>西濃圏域(n = 290 )　　</v>
      </c>
      <c r="O124" s="88">
        <f t="shared" ref="O124:X124" si="67">C128</f>
        <v>22.758620689655174</v>
      </c>
      <c r="P124" s="89">
        <f t="shared" si="67"/>
        <v>19.310344827586206</v>
      </c>
      <c r="Q124" s="89">
        <f t="shared" si="67"/>
        <v>17.931034482758619</v>
      </c>
      <c r="R124" s="89">
        <f t="shared" si="67"/>
        <v>14.13793103448276</v>
      </c>
      <c r="S124" s="89">
        <f t="shared" si="67"/>
        <v>17.931034482758619</v>
      </c>
      <c r="T124" s="89">
        <f t="shared" si="67"/>
        <v>11.379310344827587</v>
      </c>
      <c r="U124" s="89">
        <f t="shared" si="67"/>
        <v>12.758620689655173</v>
      </c>
      <c r="V124" s="89">
        <f t="shared" si="67"/>
        <v>11.724137931034482</v>
      </c>
      <c r="W124" s="90">
        <f t="shared" si="67"/>
        <v>12.413793103448276</v>
      </c>
      <c r="X124" s="91">
        <f t="shared" si="67"/>
        <v>12.758620689655173</v>
      </c>
    </row>
    <row r="125" spans="1:40" ht="12.75" customHeight="1" x14ac:dyDescent="0.2">
      <c r="A125" s="269" t="str">
        <f>A93</f>
        <v>岐阜圏域(n = 617 )　　</v>
      </c>
      <c r="B125" s="113">
        <f t="shared" si="63"/>
        <v>617</v>
      </c>
      <c r="C125" s="129">
        <f t="shared" ref="C125:L125" si="68">C109</f>
        <v>119</v>
      </c>
      <c r="D125" s="130">
        <f t="shared" si="68"/>
        <v>120</v>
      </c>
      <c r="E125" s="130">
        <f t="shared" si="68"/>
        <v>119</v>
      </c>
      <c r="F125" s="130">
        <f t="shared" si="68"/>
        <v>105</v>
      </c>
      <c r="G125" s="130">
        <f t="shared" si="68"/>
        <v>78</v>
      </c>
      <c r="H125" s="130">
        <f t="shared" si="68"/>
        <v>54</v>
      </c>
      <c r="I125" s="140">
        <f t="shared" si="68"/>
        <v>79</v>
      </c>
      <c r="J125" s="130">
        <f t="shared" si="68"/>
        <v>70</v>
      </c>
      <c r="K125" s="140">
        <f t="shared" si="68"/>
        <v>60</v>
      </c>
      <c r="L125" s="131">
        <f t="shared" si="68"/>
        <v>75</v>
      </c>
      <c r="N125" s="95" t="str">
        <f>A129</f>
        <v>中濃圏域(n = 300 )　　</v>
      </c>
      <c r="O125" s="88">
        <f t="shared" ref="O125:X125" si="69">C130</f>
        <v>21.666666666666668</v>
      </c>
      <c r="P125" s="89">
        <f t="shared" si="69"/>
        <v>17.666666666666668</v>
      </c>
      <c r="Q125" s="89">
        <f t="shared" si="69"/>
        <v>15.666666666666668</v>
      </c>
      <c r="R125" s="89">
        <f t="shared" si="69"/>
        <v>14.666666666666666</v>
      </c>
      <c r="S125" s="89">
        <f t="shared" si="69"/>
        <v>12</v>
      </c>
      <c r="T125" s="89">
        <f t="shared" si="69"/>
        <v>11</v>
      </c>
      <c r="U125" s="89">
        <f t="shared" si="69"/>
        <v>12.666666666666668</v>
      </c>
      <c r="V125" s="89">
        <f t="shared" si="69"/>
        <v>11.666666666666666</v>
      </c>
      <c r="W125" s="90">
        <f t="shared" si="69"/>
        <v>11</v>
      </c>
      <c r="X125" s="91">
        <f t="shared" si="69"/>
        <v>8.3333333333333321</v>
      </c>
    </row>
    <row r="126" spans="1:40" ht="13.5" customHeight="1" x14ac:dyDescent="0.2">
      <c r="A126" s="270"/>
      <c r="B126" s="114">
        <f t="shared" si="63"/>
        <v>38.180693069306933</v>
      </c>
      <c r="C126" s="125">
        <f t="shared" ref="C126:L126" si="70">C110</f>
        <v>19.286871961102108</v>
      </c>
      <c r="D126" s="126">
        <f t="shared" si="70"/>
        <v>19.448946515397083</v>
      </c>
      <c r="E126" s="126">
        <f t="shared" si="70"/>
        <v>19.286871961102108</v>
      </c>
      <c r="F126" s="126">
        <f t="shared" si="70"/>
        <v>17.017828200972449</v>
      </c>
      <c r="G126" s="126">
        <f t="shared" si="70"/>
        <v>12.641815235008103</v>
      </c>
      <c r="H126" s="126">
        <f t="shared" si="70"/>
        <v>8.7520259319286886</v>
      </c>
      <c r="I126" s="127">
        <f t="shared" si="70"/>
        <v>12.80388978930308</v>
      </c>
      <c r="J126" s="126">
        <f t="shared" si="70"/>
        <v>11.345218800648297</v>
      </c>
      <c r="K126" s="127">
        <f t="shared" si="70"/>
        <v>9.7244732576985413</v>
      </c>
      <c r="L126" s="128">
        <f t="shared" si="70"/>
        <v>12.155591572123177</v>
      </c>
      <c r="N126" s="95" t="str">
        <f>A131</f>
        <v>東濃圏域(n = 271 )　　</v>
      </c>
      <c r="O126" s="88">
        <f t="shared" ref="O126:X126" si="71">C132</f>
        <v>21.033210332103323</v>
      </c>
      <c r="P126" s="89">
        <f t="shared" si="71"/>
        <v>19.926199261992618</v>
      </c>
      <c r="Q126" s="89">
        <f t="shared" si="71"/>
        <v>16.974169741697416</v>
      </c>
      <c r="R126" s="89">
        <f t="shared" si="71"/>
        <v>14.391143911439114</v>
      </c>
      <c r="S126" s="89">
        <f t="shared" si="71"/>
        <v>15.498154981549817</v>
      </c>
      <c r="T126" s="89">
        <f t="shared" si="71"/>
        <v>22.140221402214021</v>
      </c>
      <c r="U126" s="89">
        <f t="shared" si="71"/>
        <v>8.4870848708487081</v>
      </c>
      <c r="V126" s="89">
        <f t="shared" si="71"/>
        <v>8.8560885608856079</v>
      </c>
      <c r="W126" s="90">
        <f t="shared" si="71"/>
        <v>13.653136531365314</v>
      </c>
      <c r="X126" s="91">
        <f t="shared" si="71"/>
        <v>9.9630996309963091</v>
      </c>
    </row>
    <row r="127" spans="1:40" ht="13.5" customHeight="1" x14ac:dyDescent="0.2">
      <c r="A127" s="269" t="str">
        <f>A95</f>
        <v>西濃圏域(n = 290 )　　</v>
      </c>
      <c r="B127" s="113">
        <f t="shared" si="63"/>
        <v>290</v>
      </c>
      <c r="C127" s="129">
        <f t="shared" ref="C127:L127" si="72">C111</f>
        <v>66</v>
      </c>
      <c r="D127" s="130">
        <f t="shared" si="72"/>
        <v>56</v>
      </c>
      <c r="E127" s="130">
        <f t="shared" si="72"/>
        <v>52</v>
      </c>
      <c r="F127" s="130">
        <f t="shared" si="72"/>
        <v>41</v>
      </c>
      <c r="G127" s="130">
        <f t="shared" si="72"/>
        <v>52</v>
      </c>
      <c r="H127" s="130">
        <f t="shared" si="72"/>
        <v>33</v>
      </c>
      <c r="I127" s="140">
        <f t="shared" si="72"/>
        <v>37</v>
      </c>
      <c r="J127" s="130">
        <f t="shared" si="72"/>
        <v>34</v>
      </c>
      <c r="K127" s="140">
        <f t="shared" si="72"/>
        <v>36</v>
      </c>
      <c r="L127" s="131">
        <f t="shared" si="72"/>
        <v>37</v>
      </c>
      <c r="N127" s="94" t="str">
        <f>A133</f>
        <v>飛騨圏域(n = 106 )　　</v>
      </c>
      <c r="O127" s="78">
        <f t="shared" ref="O127:X127" si="73">C134</f>
        <v>24.528301886792452</v>
      </c>
      <c r="P127" s="79">
        <f t="shared" si="73"/>
        <v>14.150943396226415</v>
      </c>
      <c r="Q127" s="79">
        <f t="shared" si="73"/>
        <v>20.754716981132077</v>
      </c>
      <c r="R127" s="79">
        <f t="shared" si="73"/>
        <v>16.981132075471699</v>
      </c>
      <c r="S127" s="79">
        <f t="shared" si="73"/>
        <v>11.320754716981133</v>
      </c>
      <c r="T127" s="79">
        <f t="shared" si="73"/>
        <v>31.132075471698112</v>
      </c>
      <c r="U127" s="79">
        <f t="shared" si="73"/>
        <v>11.320754716981133</v>
      </c>
      <c r="V127" s="79">
        <f t="shared" si="73"/>
        <v>11.320754716981133</v>
      </c>
      <c r="W127" s="80">
        <f t="shared" si="73"/>
        <v>9.433962264150944</v>
      </c>
      <c r="X127" s="81">
        <f t="shared" si="73"/>
        <v>10.377358490566039</v>
      </c>
    </row>
    <row r="128" spans="1:40" x14ac:dyDescent="0.2">
      <c r="A128" s="270"/>
      <c r="B128" s="114">
        <f t="shared" si="63"/>
        <v>17.945544554455445</v>
      </c>
      <c r="C128" s="125">
        <f t="shared" ref="C128:L128" si="74">C112</f>
        <v>22.758620689655174</v>
      </c>
      <c r="D128" s="126">
        <f t="shared" si="74"/>
        <v>19.310344827586206</v>
      </c>
      <c r="E128" s="126">
        <f t="shared" si="74"/>
        <v>17.931034482758619</v>
      </c>
      <c r="F128" s="126">
        <f t="shared" si="74"/>
        <v>14.13793103448276</v>
      </c>
      <c r="G128" s="126">
        <f t="shared" si="74"/>
        <v>17.931034482758619</v>
      </c>
      <c r="H128" s="126">
        <f t="shared" si="74"/>
        <v>11.379310344827587</v>
      </c>
      <c r="I128" s="127">
        <f t="shared" si="74"/>
        <v>12.758620689655173</v>
      </c>
      <c r="J128" s="126">
        <f t="shared" si="74"/>
        <v>11.724137931034482</v>
      </c>
      <c r="K128" s="127">
        <f t="shared" si="74"/>
        <v>12.413793103448276</v>
      </c>
      <c r="L128" s="128">
        <f t="shared" si="74"/>
        <v>12.758620689655173</v>
      </c>
    </row>
    <row r="129" spans="1:43" ht="13.5" customHeight="1" x14ac:dyDescent="0.2">
      <c r="A129" s="269" t="str">
        <f>A97</f>
        <v>中濃圏域(n = 300 )　　</v>
      </c>
      <c r="B129" s="113">
        <f t="shared" si="63"/>
        <v>300</v>
      </c>
      <c r="C129" s="129">
        <f t="shared" ref="C129:L129" si="75">C113</f>
        <v>65</v>
      </c>
      <c r="D129" s="130">
        <f t="shared" si="75"/>
        <v>53</v>
      </c>
      <c r="E129" s="130">
        <f t="shared" si="75"/>
        <v>47</v>
      </c>
      <c r="F129" s="130">
        <f t="shared" si="75"/>
        <v>44</v>
      </c>
      <c r="G129" s="130">
        <f t="shared" si="75"/>
        <v>36</v>
      </c>
      <c r="H129" s="130">
        <f t="shared" si="75"/>
        <v>33</v>
      </c>
      <c r="I129" s="140">
        <f t="shared" si="75"/>
        <v>38</v>
      </c>
      <c r="J129" s="130">
        <f t="shared" si="75"/>
        <v>35</v>
      </c>
      <c r="K129" s="140">
        <f t="shared" si="75"/>
        <v>33</v>
      </c>
      <c r="L129" s="131">
        <f t="shared" si="75"/>
        <v>25</v>
      </c>
    </row>
    <row r="130" spans="1:43" x14ac:dyDescent="0.2">
      <c r="A130" s="270"/>
      <c r="B130" s="114">
        <f t="shared" si="63"/>
        <v>18.564356435643564</v>
      </c>
      <c r="C130" s="125">
        <f t="shared" ref="C130:L130" si="76">C114</f>
        <v>21.666666666666668</v>
      </c>
      <c r="D130" s="126">
        <f t="shared" si="76"/>
        <v>17.666666666666668</v>
      </c>
      <c r="E130" s="126">
        <f t="shared" si="76"/>
        <v>15.666666666666668</v>
      </c>
      <c r="F130" s="126">
        <f t="shared" si="76"/>
        <v>14.666666666666666</v>
      </c>
      <c r="G130" s="126">
        <f t="shared" si="76"/>
        <v>12</v>
      </c>
      <c r="H130" s="126">
        <f t="shared" si="76"/>
        <v>11</v>
      </c>
      <c r="I130" s="127">
        <f t="shared" si="76"/>
        <v>12.666666666666668</v>
      </c>
      <c r="J130" s="126">
        <f t="shared" si="76"/>
        <v>11.666666666666666</v>
      </c>
      <c r="K130" s="127">
        <f t="shared" si="76"/>
        <v>11</v>
      </c>
      <c r="L130" s="128">
        <f t="shared" si="76"/>
        <v>8.3333333333333321</v>
      </c>
    </row>
    <row r="131" spans="1:43" ht="13.5" customHeight="1" x14ac:dyDescent="0.2">
      <c r="A131" s="269" t="str">
        <f>A99</f>
        <v>東濃圏域(n = 271 )　　</v>
      </c>
      <c r="B131" s="113">
        <f t="shared" si="63"/>
        <v>271</v>
      </c>
      <c r="C131" s="129">
        <f t="shared" ref="C131:L131" si="77">C115</f>
        <v>57</v>
      </c>
      <c r="D131" s="130">
        <f t="shared" si="77"/>
        <v>54</v>
      </c>
      <c r="E131" s="130">
        <f t="shared" si="77"/>
        <v>46</v>
      </c>
      <c r="F131" s="130">
        <f t="shared" si="77"/>
        <v>39</v>
      </c>
      <c r="G131" s="130">
        <f t="shared" si="77"/>
        <v>42</v>
      </c>
      <c r="H131" s="130">
        <f t="shared" si="77"/>
        <v>60</v>
      </c>
      <c r="I131" s="140">
        <f t="shared" si="77"/>
        <v>23</v>
      </c>
      <c r="J131" s="130">
        <f t="shared" si="77"/>
        <v>24</v>
      </c>
      <c r="K131" s="140">
        <f t="shared" si="77"/>
        <v>37</v>
      </c>
      <c r="L131" s="131">
        <f t="shared" si="77"/>
        <v>27</v>
      </c>
    </row>
    <row r="132" spans="1:43" x14ac:dyDescent="0.2">
      <c r="A132" s="270"/>
      <c r="B132" s="114">
        <f t="shared" si="63"/>
        <v>16.769801980198022</v>
      </c>
      <c r="C132" s="125">
        <f t="shared" ref="C132:L132" si="78">C116</f>
        <v>21.033210332103323</v>
      </c>
      <c r="D132" s="126">
        <f t="shared" si="78"/>
        <v>19.926199261992618</v>
      </c>
      <c r="E132" s="126">
        <f t="shared" si="78"/>
        <v>16.974169741697416</v>
      </c>
      <c r="F132" s="126">
        <f t="shared" si="78"/>
        <v>14.391143911439114</v>
      </c>
      <c r="G132" s="126">
        <f t="shared" si="78"/>
        <v>15.498154981549817</v>
      </c>
      <c r="H132" s="126">
        <f t="shared" si="78"/>
        <v>22.140221402214021</v>
      </c>
      <c r="I132" s="127">
        <f t="shared" si="78"/>
        <v>8.4870848708487081</v>
      </c>
      <c r="J132" s="126">
        <f t="shared" si="78"/>
        <v>8.8560885608856079</v>
      </c>
      <c r="K132" s="127">
        <f t="shared" si="78"/>
        <v>13.653136531365314</v>
      </c>
      <c r="L132" s="128">
        <f t="shared" si="78"/>
        <v>9.9630996309963091</v>
      </c>
    </row>
    <row r="133" spans="1:43" ht="13.5" customHeight="1" x14ac:dyDescent="0.2">
      <c r="A133" s="269" t="str">
        <f>A101</f>
        <v>飛騨圏域(n = 106 )　　</v>
      </c>
      <c r="B133" s="113">
        <f t="shared" si="63"/>
        <v>106</v>
      </c>
      <c r="C133" s="129">
        <f t="shared" ref="C133:L133" si="79">C117</f>
        <v>26</v>
      </c>
      <c r="D133" s="130">
        <f t="shared" si="79"/>
        <v>15</v>
      </c>
      <c r="E133" s="130">
        <f t="shared" si="79"/>
        <v>22</v>
      </c>
      <c r="F133" s="130">
        <f t="shared" si="79"/>
        <v>18</v>
      </c>
      <c r="G133" s="130">
        <f t="shared" si="79"/>
        <v>12</v>
      </c>
      <c r="H133" s="130">
        <f t="shared" si="79"/>
        <v>33</v>
      </c>
      <c r="I133" s="140">
        <f t="shared" si="79"/>
        <v>12</v>
      </c>
      <c r="J133" s="130">
        <f t="shared" si="79"/>
        <v>12</v>
      </c>
      <c r="K133" s="140">
        <f t="shared" si="79"/>
        <v>10</v>
      </c>
      <c r="L133" s="131">
        <f t="shared" si="79"/>
        <v>11</v>
      </c>
    </row>
    <row r="134" spans="1:43" x14ac:dyDescent="0.2">
      <c r="A134" s="270"/>
      <c r="B134" s="114">
        <f t="shared" si="63"/>
        <v>6.5594059405940595</v>
      </c>
      <c r="C134" s="125">
        <f t="shared" ref="C134:L134" si="80">C118</f>
        <v>24.528301886792452</v>
      </c>
      <c r="D134" s="126">
        <f t="shared" si="80"/>
        <v>14.150943396226415</v>
      </c>
      <c r="E134" s="126">
        <f t="shared" si="80"/>
        <v>20.754716981132077</v>
      </c>
      <c r="F134" s="126">
        <f t="shared" si="80"/>
        <v>16.981132075471699</v>
      </c>
      <c r="G134" s="126">
        <f t="shared" si="80"/>
        <v>11.320754716981133</v>
      </c>
      <c r="H134" s="126">
        <f t="shared" si="80"/>
        <v>31.132075471698112</v>
      </c>
      <c r="I134" s="127">
        <f t="shared" si="80"/>
        <v>11.320754716981133</v>
      </c>
      <c r="J134" s="126">
        <f t="shared" si="80"/>
        <v>11.320754716981133</v>
      </c>
      <c r="K134" s="127">
        <f t="shared" si="80"/>
        <v>9.433962264150944</v>
      </c>
      <c r="L134" s="128">
        <f t="shared" si="80"/>
        <v>10.377358490566039</v>
      </c>
    </row>
    <row r="136" spans="1:43" x14ac:dyDescent="0.2">
      <c r="A136" s="3" t="s">
        <v>414</v>
      </c>
      <c r="B136" s="1" t="str">
        <f>B89</f>
        <v>県の取り組みで努力が足りないと思う分野</v>
      </c>
      <c r="C136" s="8">
        <v>1</v>
      </c>
      <c r="D136" s="9">
        <v>2</v>
      </c>
      <c r="E136" s="8">
        <v>3</v>
      </c>
      <c r="F136" s="9">
        <v>4</v>
      </c>
      <c r="G136" s="8">
        <v>5</v>
      </c>
      <c r="H136" s="9">
        <v>6</v>
      </c>
      <c r="I136" s="8">
        <v>7</v>
      </c>
      <c r="J136" s="9">
        <v>8</v>
      </c>
      <c r="K136" s="8">
        <v>9</v>
      </c>
      <c r="L136" s="9">
        <v>10</v>
      </c>
      <c r="M136" s="8">
        <v>11</v>
      </c>
      <c r="N136" s="9">
        <v>12</v>
      </c>
      <c r="O136" s="8">
        <v>13</v>
      </c>
      <c r="P136" s="9">
        <v>14</v>
      </c>
      <c r="Q136" s="8">
        <v>15</v>
      </c>
      <c r="R136" s="9">
        <v>16</v>
      </c>
      <c r="S136" s="8">
        <v>17</v>
      </c>
      <c r="T136" s="9">
        <v>18</v>
      </c>
      <c r="U136" s="8">
        <v>19</v>
      </c>
      <c r="V136" s="9">
        <v>20</v>
      </c>
      <c r="W136" s="8">
        <v>21</v>
      </c>
      <c r="X136" s="9">
        <v>22</v>
      </c>
      <c r="Y136" s="8">
        <v>23</v>
      </c>
      <c r="Z136" s="9">
        <v>24</v>
      </c>
      <c r="AA136" s="8">
        <v>25</v>
      </c>
      <c r="AB136" s="9">
        <v>26</v>
      </c>
      <c r="AC136" s="8">
        <v>27</v>
      </c>
      <c r="AD136" s="9">
        <v>28</v>
      </c>
      <c r="AE136" s="8">
        <v>29</v>
      </c>
      <c r="AF136" s="9">
        <v>30</v>
      </c>
      <c r="AG136" s="8">
        <v>31</v>
      </c>
      <c r="AH136" s="9">
        <v>32</v>
      </c>
      <c r="AI136" s="8">
        <v>33</v>
      </c>
      <c r="AJ136" s="9">
        <v>34</v>
      </c>
      <c r="AK136" s="8">
        <v>35</v>
      </c>
      <c r="AL136" s="9">
        <v>36</v>
      </c>
      <c r="AM136" s="8">
        <v>37</v>
      </c>
    </row>
    <row r="137" spans="1:43" ht="43.2" x14ac:dyDescent="0.2">
      <c r="A137" s="13" t="s">
        <v>29</v>
      </c>
      <c r="B137" s="59" t="str">
        <f>B90</f>
        <v>調査数</v>
      </c>
      <c r="C137" s="60" t="str">
        <f t="shared" ref="C137:AM137" si="81">C90</f>
        <v>防災対策</v>
      </c>
      <c r="D137" s="61" t="str">
        <f t="shared" si="81"/>
        <v>自然環境保全</v>
      </c>
      <c r="E137" s="61" t="str">
        <f t="shared" si="81"/>
        <v>住環境保全</v>
      </c>
      <c r="F137" s="61" t="str">
        <f t="shared" si="81"/>
        <v>廃棄物対策</v>
      </c>
      <c r="G137" s="61" t="str">
        <f t="shared" si="81"/>
        <v>消費者保護</v>
      </c>
      <c r="H137" s="61" t="str">
        <f t="shared" si="81"/>
        <v>防犯・交通安全対策</v>
      </c>
      <c r="I137" s="61" t="str">
        <f t="shared" si="81"/>
        <v>地域コミュニティの活性化</v>
      </c>
      <c r="J137" s="61" t="str">
        <f t="shared" si="81"/>
        <v>地域医療の確保</v>
      </c>
      <c r="K137" s="61" t="str">
        <f t="shared" si="81"/>
        <v>健康増進</v>
      </c>
      <c r="L137" s="61" t="str">
        <f t="shared" si="81"/>
        <v>食品の安全対策</v>
      </c>
      <c r="M137" s="61" t="str">
        <f t="shared" si="81"/>
        <v>薬物対策</v>
      </c>
      <c r="N137" s="61" t="str">
        <f t="shared" si="81"/>
        <v>高齢者福祉</v>
      </c>
      <c r="O137" s="61" t="str">
        <f t="shared" si="81"/>
        <v>障がい者福祉</v>
      </c>
      <c r="P137" s="61" t="str">
        <f t="shared" si="81"/>
        <v>少子化対策</v>
      </c>
      <c r="Q137" s="61" t="str">
        <f t="shared" si="81"/>
        <v>子育て支援</v>
      </c>
      <c r="R137" s="61" t="str">
        <f t="shared" si="81"/>
        <v>中小企業支援</v>
      </c>
      <c r="S137" s="61" t="str">
        <f t="shared" si="81"/>
        <v>企業誘致</v>
      </c>
      <c r="T137" s="61" t="str">
        <f t="shared" si="81"/>
        <v>成長産業分野の振興</v>
      </c>
      <c r="U137" s="61" t="str">
        <f t="shared" si="81"/>
        <v>観光振興</v>
      </c>
      <c r="V137" s="61" t="str">
        <f t="shared" si="81"/>
        <v>就労支援</v>
      </c>
      <c r="W137" s="61" t="str">
        <f t="shared" si="81"/>
        <v>労働環境改善</v>
      </c>
      <c r="X137" s="61" t="str">
        <f t="shared" si="81"/>
        <v>様々な産業を担う人材の育成</v>
      </c>
      <c r="Y137" s="61" t="str">
        <f t="shared" si="81"/>
        <v>女性の活躍推進</v>
      </c>
      <c r="Z137" s="61" t="str">
        <f t="shared" si="81"/>
        <v>農業等振興</v>
      </c>
      <c r="AA137" s="61" t="str">
        <f t="shared" si="81"/>
        <v>林業振興</v>
      </c>
      <c r="AB137" s="61" t="str">
        <f t="shared" si="81"/>
        <v>道路整備・維持管理</v>
      </c>
      <c r="AC137" s="61" t="str">
        <f t="shared" si="81"/>
        <v>河川整備・維持管理</v>
      </c>
      <c r="AD137" s="61" t="str">
        <f t="shared" si="81"/>
        <v>砂防対策</v>
      </c>
      <c r="AE137" s="61" t="str">
        <f t="shared" si="81"/>
        <v>公共交通の充実</v>
      </c>
      <c r="AF137" s="61" t="str">
        <f t="shared" si="81"/>
        <v>公園整備</v>
      </c>
      <c r="AG137" s="61" t="str">
        <f t="shared" si="81"/>
        <v>学校教育の充実</v>
      </c>
      <c r="AH137" s="61" t="str">
        <f t="shared" si="81"/>
        <v>社会教育・生涯学習の充実</v>
      </c>
      <c r="AI137" s="61" t="str">
        <f t="shared" si="81"/>
        <v>文化・芸術の振興</v>
      </c>
      <c r="AJ137" s="61" t="str">
        <f t="shared" si="81"/>
        <v>スポーツやレクリエーションの推進</v>
      </c>
      <c r="AK137" s="61" t="str">
        <f t="shared" si="81"/>
        <v>若者の県内定着</v>
      </c>
      <c r="AL137" s="61" t="str">
        <f t="shared" si="81"/>
        <v>県外からの移住・定住の推進</v>
      </c>
      <c r="AM137" s="63" t="str">
        <f t="shared" si="81"/>
        <v>無回答</v>
      </c>
      <c r="AN137" s="5" t="s">
        <v>118</v>
      </c>
    </row>
    <row r="138" spans="1:43" ht="13.5" customHeight="1" x14ac:dyDescent="0.2">
      <c r="A138" s="269" t="str">
        <f>'問10-1M（表）'!A138</f>
        <v>全体(n = 1,616 )　　</v>
      </c>
      <c r="B138" s="34">
        <f>'問9S（表）'!B68</f>
        <v>1616</v>
      </c>
      <c r="C138" s="28">
        <f>$C$3</f>
        <v>191</v>
      </c>
      <c r="D138" s="29">
        <f>$D$3</f>
        <v>83</v>
      </c>
      <c r="E138" s="29">
        <f>$E$3</f>
        <v>105</v>
      </c>
      <c r="F138" s="29">
        <f>$F$3</f>
        <v>140</v>
      </c>
      <c r="G138" s="29">
        <f>$G$3</f>
        <v>159</v>
      </c>
      <c r="H138" s="29">
        <f>$H$3</f>
        <v>113</v>
      </c>
      <c r="I138" s="29">
        <f>$I$3</f>
        <v>108</v>
      </c>
      <c r="J138" s="29">
        <f>$J$3</f>
        <v>214</v>
      </c>
      <c r="K138" s="29">
        <f>$K$3</f>
        <v>55</v>
      </c>
      <c r="L138" s="29">
        <f>$L$3</f>
        <v>40</v>
      </c>
      <c r="M138" s="29">
        <f>$M$3</f>
        <v>42</v>
      </c>
      <c r="N138" s="29">
        <f>$N$3</f>
        <v>223</v>
      </c>
      <c r="O138" s="29">
        <f>$O$3</f>
        <v>110</v>
      </c>
      <c r="P138" s="29">
        <f>$P$3</f>
        <v>291</v>
      </c>
      <c r="Q138" s="29">
        <f>$Q$3</f>
        <v>252</v>
      </c>
      <c r="R138" s="29">
        <f>$R$3</f>
        <v>139</v>
      </c>
      <c r="S138" s="29">
        <f>$S$3</f>
        <v>154</v>
      </c>
      <c r="T138" s="29">
        <f>$T$3</f>
        <v>72</v>
      </c>
      <c r="U138" s="29">
        <f>$U$3</f>
        <v>176</v>
      </c>
      <c r="V138" s="29">
        <f>$V$3</f>
        <v>152</v>
      </c>
      <c r="W138" s="29">
        <f>$W$3</f>
        <v>179</v>
      </c>
      <c r="X138" s="29">
        <f>$X$3</f>
        <v>115</v>
      </c>
      <c r="Y138" s="29">
        <f>$Y$3</f>
        <v>178</v>
      </c>
      <c r="Z138" s="29">
        <f>$Z$3</f>
        <v>72</v>
      </c>
      <c r="AA138" s="29">
        <f>$AA$3</f>
        <v>53</v>
      </c>
      <c r="AB138" s="29">
        <f>$AB$3</f>
        <v>174</v>
      </c>
      <c r="AC138" s="29">
        <f>$AC$3</f>
        <v>109</v>
      </c>
      <c r="AD138" s="29">
        <f>$AD$3</f>
        <v>66</v>
      </c>
      <c r="AE138" s="29">
        <f>$AE$3</f>
        <v>301</v>
      </c>
      <c r="AF138" s="29">
        <f>$AF$3</f>
        <v>135</v>
      </c>
      <c r="AG138" s="29">
        <f>$AG$3</f>
        <v>141</v>
      </c>
      <c r="AH138" s="29">
        <f>$AH$3</f>
        <v>46</v>
      </c>
      <c r="AI138" s="29">
        <f>$AI$3</f>
        <v>57</v>
      </c>
      <c r="AJ138" s="29">
        <f>$AJ$3</f>
        <v>53</v>
      </c>
      <c r="AK138" s="29">
        <f>$AK$3</f>
        <v>340</v>
      </c>
      <c r="AL138" s="29">
        <f>$AL$3</f>
        <v>179</v>
      </c>
      <c r="AM138" s="30"/>
      <c r="AN138" s="5">
        <f>SUM(C138:AM138)</f>
        <v>5017</v>
      </c>
    </row>
    <row r="139" spans="1:43" x14ac:dyDescent="0.2">
      <c r="A139" s="270"/>
      <c r="B139" s="35">
        <f>'問9S（表）'!B69</f>
        <v>100</v>
      </c>
      <c r="C139" s="20">
        <f t="shared" ref="C139:AL139" si="82">C138/$B$138*100</f>
        <v>11.819306930693068</v>
      </c>
      <c r="D139" s="207">
        <f t="shared" si="82"/>
        <v>5.1361386138613856</v>
      </c>
      <c r="E139" s="207">
        <f t="shared" si="82"/>
        <v>6.4975247524752477</v>
      </c>
      <c r="F139" s="207">
        <f t="shared" si="82"/>
        <v>8.6633663366336631</v>
      </c>
      <c r="G139" s="207">
        <f t="shared" si="82"/>
        <v>9.8391089108910901</v>
      </c>
      <c r="H139" s="207">
        <f t="shared" si="82"/>
        <v>6.9925742574257432</v>
      </c>
      <c r="I139" s="207">
        <f t="shared" si="82"/>
        <v>6.6831683168316838</v>
      </c>
      <c r="J139" s="207">
        <f t="shared" si="82"/>
        <v>13.242574257425744</v>
      </c>
      <c r="K139" s="207">
        <f t="shared" si="82"/>
        <v>3.4034653465346536</v>
      </c>
      <c r="L139" s="207">
        <f t="shared" si="82"/>
        <v>2.4752475247524752</v>
      </c>
      <c r="M139" s="207">
        <f t="shared" si="82"/>
        <v>2.5990099009900991</v>
      </c>
      <c r="N139" s="207">
        <f t="shared" si="82"/>
        <v>13.79950495049505</v>
      </c>
      <c r="O139" s="207">
        <f t="shared" si="82"/>
        <v>6.8069306930693072</v>
      </c>
      <c r="P139" s="207">
        <f t="shared" si="82"/>
        <v>18.007425742574256</v>
      </c>
      <c r="Q139" s="207">
        <f t="shared" si="82"/>
        <v>15.594059405940595</v>
      </c>
      <c r="R139" s="207">
        <f t="shared" si="82"/>
        <v>8.6014851485148505</v>
      </c>
      <c r="S139" s="207">
        <f t="shared" si="82"/>
        <v>9.5297029702970306</v>
      </c>
      <c r="T139" s="207">
        <f t="shared" si="82"/>
        <v>4.455445544554455</v>
      </c>
      <c r="U139" s="207">
        <f t="shared" si="82"/>
        <v>10.891089108910892</v>
      </c>
      <c r="V139" s="207">
        <f t="shared" si="82"/>
        <v>9.4059405940594054</v>
      </c>
      <c r="W139" s="207">
        <f t="shared" si="82"/>
        <v>11.076732673267326</v>
      </c>
      <c r="X139" s="207">
        <f t="shared" si="82"/>
        <v>7.1163366336633658</v>
      </c>
      <c r="Y139" s="207">
        <f t="shared" si="82"/>
        <v>11.014851485148515</v>
      </c>
      <c r="Z139" s="207">
        <f t="shared" si="82"/>
        <v>4.455445544554455</v>
      </c>
      <c r="AA139" s="207">
        <f t="shared" si="82"/>
        <v>3.2797029702970297</v>
      </c>
      <c r="AB139" s="207">
        <f t="shared" si="82"/>
        <v>10.767326732673267</v>
      </c>
      <c r="AC139" s="207">
        <f t="shared" si="82"/>
        <v>6.7450495049504955</v>
      </c>
      <c r="AD139" s="207">
        <f t="shared" si="82"/>
        <v>4.0841584158415847</v>
      </c>
      <c r="AE139" s="207">
        <f t="shared" si="82"/>
        <v>18.626237623762375</v>
      </c>
      <c r="AF139" s="207">
        <f t="shared" si="82"/>
        <v>8.3539603960396036</v>
      </c>
      <c r="AG139" s="207">
        <f t="shared" si="82"/>
        <v>8.7252475247524739</v>
      </c>
      <c r="AH139" s="207">
        <f t="shared" si="82"/>
        <v>2.8465346534653468</v>
      </c>
      <c r="AI139" s="207">
        <f t="shared" si="82"/>
        <v>3.527227722772277</v>
      </c>
      <c r="AJ139" s="207">
        <f t="shared" si="82"/>
        <v>3.2797029702970297</v>
      </c>
      <c r="AK139" s="207">
        <f t="shared" si="82"/>
        <v>21.03960396039604</v>
      </c>
      <c r="AL139" s="207">
        <f t="shared" si="82"/>
        <v>11.076732673267326</v>
      </c>
      <c r="AM139" s="208"/>
      <c r="AN139" s="195"/>
    </row>
    <row r="140" spans="1:43" ht="13.5" customHeight="1" x14ac:dyDescent="0.2">
      <c r="A140" s="269" t="str">
        <f>'問10-1M（表）'!A140</f>
        <v>自営業(n = 175 )　　</v>
      </c>
      <c r="B140" s="34">
        <f>'問9S（表）'!B70</f>
        <v>175</v>
      </c>
      <c r="C140" s="31">
        <v>17</v>
      </c>
      <c r="D140" s="32">
        <v>9</v>
      </c>
      <c r="E140" s="32">
        <v>11</v>
      </c>
      <c r="F140" s="32">
        <v>21</v>
      </c>
      <c r="G140" s="32">
        <v>11</v>
      </c>
      <c r="H140" s="32">
        <v>8</v>
      </c>
      <c r="I140" s="32">
        <v>12</v>
      </c>
      <c r="J140" s="32">
        <v>24</v>
      </c>
      <c r="K140" s="32">
        <v>8</v>
      </c>
      <c r="L140" s="32">
        <v>6</v>
      </c>
      <c r="M140" s="32">
        <v>3</v>
      </c>
      <c r="N140" s="32">
        <v>24</v>
      </c>
      <c r="O140" s="32">
        <v>10</v>
      </c>
      <c r="P140" s="32">
        <v>25</v>
      </c>
      <c r="Q140" s="32">
        <v>23</v>
      </c>
      <c r="R140" s="32">
        <v>30</v>
      </c>
      <c r="S140" s="32">
        <v>13</v>
      </c>
      <c r="T140" s="32">
        <v>5</v>
      </c>
      <c r="U140" s="32">
        <v>21</v>
      </c>
      <c r="V140" s="32">
        <v>15</v>
      </c>
      <c r="W140" s="32">
        <v>7</v>
      </c>
      <c r="X140" s="32">
        <v>17</v>
      </c>
      <c r="Y140" s="32">
        <v>14</v>
      </c>
      <c r="Z140" s="32">
        <v>12</v>
      </c>
      <c r="AA140" s="32">
        <v>4</v>
      </c>
      <c r="AB140" s="32">
        <v>17</v>
      </c>
      <c r="AC140" s="32">
        <v>10</v>
      </c>
      <c r="AD140" s="32">
        <v>6</v>
      </c>
      <c r="AE140" s="32">
        <v>30</v>
      </c>
      <c r="AF140" s="32">
        <v>20</v>
      </c>
      <c r="AG140" s="32">
        <v>13</v>
      </c>
      <c r="AH140" s="32">
        <v>3</v>
      </c>
      <c r="AI140" s="32">
        <v>4</v>
      </c>
      <c r="AJ140" s="32">
        <v>6</v>
      </c>
      <c r="AK140" s="32">
        <v>33</v>
      </c>
      <c r="AL140" s="32">
        <v>17</v>
      </c>
      <c r="AM140" s="33"/>
      <c r="AN140" s="5">
        <f>SUM(C140:AM140)</f>
        <v>509</v>
      </c>
      <c r="AO140" t="str">
        <f>" 自営業（ n = "&amp;B140&amp;"）"</f>
        <v xml:space="preserve"> 自営業（ n = 175）</v>
      </c>
      <c r="AQ140">
        <v>1</v>
      </c>
    </row>
    <row r="141" spans="1:43" x14ac:dyDescent="0.2">
      <c r="A141" s="270"/>
      <c r="B141" s="35">
        <f>'問9S（表）'!B71</f>
        <v>10.829207920792079</v>
      </c>
      <c r="C141" s="20">
        <f t="shared" ref="C141:AL141" si="83">C140/$B$140*100</f>
        <v>9.7142857142857135</v>
      </c>
      <c r="D141" s="207">
        <f t="shared" si="83"/>
        <v>5.1428571428571423</v>
      </c>
      <c r="E141" s="207">
        <f t="shared" si="83"/>
        <v>6.2857142857142865</v>
      </c>
      <c r="F141" s="207">
        <f t="shared" si="83"/>
        <v>12</v>
      </c>
      <c r="G141" s="207">
        <f t="shared" si="83"/>
        <v>6.2857142857142865</v>
      </c>
      <c r="H141" s="207">
        <f t="shared" si="83"/>
        <v>4.5714285714285712</v>
      </c>
      <c r="I141" s="207">
        <f t="shared" si="83"/>
        <v>6.8571428571428577</v>
      </c>
      <c r="J141" s="207">
        <f t="shared" si="83"/>
        <v>13.714285714285715</v>
      </c>
      <c r="K141" s="207">
        <f t="shared" si="83"/>
        <v>4.5714285714285712</v>
      </c>
      <c r="L141" s="207">
        <f t="shared" si="83"/>
        <v>3.4285714285714288</v>
      </c>
      <c r="M141" s="207">
        <f t="shared" si="83"/>
        <v>1.7142857142857144</v>
      </c>
      <c r="N141" s="207">
        <f t="shared" si="83"/>
        <v>13.714285714285715</v>
      </c>
      <c r="O141" s="207">
        <f t="shared" si="83"/>
        <v>5.7142857142857144</v>
      </c>
      <c r="P141" s="207">
        <f t="shared" si="83"/>
        <v>14.285714285714285</v>
      </c>
      <c r="Q141" s="207">
        <f t="shared" si="83"/>
        <v>13.142857142857142</v>
      </c>
      <c r="R141" s="207">
        <f t="shared" si="83"/>
        <v>17.142857142857142</v>
      </c>
      <c r="S141" s="207">
        <f t="shared" si="83"/>
        <v>7.4285714285714288</v>
      </c>
      <c r="T141" s="207">
        <f t="shared" si="83"/>
        <v>2.8571428571428572</v>
      </c>
      <c r="U141" s="207">
        <f t="shared" si="83"/>
        <v>12</v>
      </c>
      <c r="V141" s="207">
        <f t="shared" si="83"/>
        <v>8.5714285714285712</v>
      </c>
      <c r="W141" s="207">
        <f t="shared" si="83"/>
        <v>4</v>
      </c>
      <c r="X141" s="207">
        <f t="shared" si="83"/>
        <v>9.7142857142857135</v>
      </c>
      <c r="Y141" s="207">
        <f t="shared" si="83"/>
        <v>8</v>
      </c>
      <c r="Z141" s="207">
        <f t="shared" si="83"/>
        <v>6.8571428571428577</v>
      </c>
      <c r="AA141" s="207">
        <f t="shared" si="83"/>
        <v>2.2857142857142856</v>
      </c>
      <c r="AB141" s="207">
        <f t="shared" si="83"/>
        <v>9.7142857142857135</v>
      </c>
      <c r="AC141" s="207">
        <f t="shared" si="83"/>
        <v>5.7142857142857144</v>
      </c>
      <c r="AD141" s="207">
        <f t="shared" si="83"/>
        <v>3.4285714285714288</v>
      </c>
      <c r="AE141" s="207">
        <f t="shared" si="83"/>
        <v>17.142857142857142</v>
      </c>
      <c r="AF141" s="207">
        <f t="shared" si="83"/>
        <v>11.428571428571429</v>
      </c>
      <c r="AG141" s="207">
        <f t="shared" si="83"/>
        <v>7.4285714285714288</v>
      </c>
      <c r="AH141" s="207">
        <f t="shared" si="83"/>
        <v>1.7142857142857144</v>
      </c>
      <c r="AI141" s="207">
        <f t="shared" si="83"/>
        <v>2.2857142857142856</v>
      </c>
      <c r="AJ141" s="207">
        <f t="shared" si="83"/>
        <v>3.4285714285714288</v>
      </c>
      <c r="AK141" s="207">
        <f t="shared" si="83"/>
        <v>18.857142857142858</v>
      </c>
      <c r="AL141" s="207">
        <f t="shared" si="83"/>
        <v>9.7142857142857135</v>
      </c>
      <c r="AM141" s="208"/>
      <c r="AN141" s="195"/>
    </row>
    <row r="142" spans="1:43" ht="13.5" customHeight="1" x14ac:dyDescent="0.2">
      <c r="A142" s="269" t="str">
        <f>'問10-1M（表）'!A142</f>
        <v>自由業(※1)(n = 12 )　　</v>
      </c>
      <c r="B142" s="34">
        <f>'問9S（表）'!B72</f>
        <v>12</v>
      </c>
      <c r="C142" s="31">
        <v>2</v>
      </c>
      <c r="D142" s="32">
        <v>2</v>
      </c>
      <c r="E142" s="32">
        <v>2</v>
      </c>
      <c r="F142" s="32">
        <v>3</v>
      </c>
      <c r="G142" s="32">
        <v>2</v>
      </c>
      <c r="H142" s="32">
        <v>0</v>
      </c>
      <c r="I142" s="32">
        <v>0</v>
      </c>
      <c r="J142" s="32">
        <v>1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3</v>
      </c>
      <c r="S142" s="32">
        <v>1</v>
      </c>
      <c r="T142" s="32">
        <v>1</v>
      </c>
      <c r="U142" s="32">
        <v>3</v>
      </c>
      <c r="V142" s="32">
        <v>3</v>
      </c>
      <c r="W142" s="32">
        <v>1</v>
      </c>
      <c r="X142" s="32">
        <v>1</v>
      </c>
      <c r="Y142" s="32">
        <v>0</v>
      </c>
      <c r="Z142" s="32">
        <v>2</v>
      </c>
      <c r="AA142" s="32">
        <v>0</v>
      </c>
      <c r="AB142" s="32">
        <v>2</v>
      </c>
      <c r="AC142" s="32">
        <v>0</v>
      </c>
      <c r="AD142" s="32">
        <v>0</v>
      </c>
      <c r="AE142" s="32">
        <v>3</v>
      </c>
      <c r="AF142" s="32">
        <v>0</v>
      </c>
      <c r="AG142" s="32">
        <v>1</v>
      </c>
      <c r="AH142" s="32">
        <v>0</v>
      </c>
      <c r="AI142" s="32">
        <v>0</v>
      </c>
      <c r="AJ142" s="32">
        <v>2</v>
      </c>
      <c r="AK142" s="32">
        <v>1</v>
      </c>
      <c r="AL142" s="32">
        <v>0</v>
      </c>
      <c r="AM142" s="33"/>
      <c r="AN142" s="5">
        <f>SUM(C142:AM142)</f>
        <v>36</v>
      </c>
      <c r="AO142" t="str">
        <f>" 自由業（ n = "&amp;B142&amp;"）"</f>
        <v xml:space="preserve"> 自由業（ n = 12）</v>
      </c>
      <c r="AQ142">
        <v>2</v>
      </c>
    </row>
    <row r="143" spans="1:43" x14ac:dyDescent="0.2">
      <c r="A143" s="270"/>
      <c r="B143" s="35">
        <f>'問9S（表）'!B73</f>
        <v>0.74257425742574257</v>
      </c>
      <c r="C143" s="20">
        <f t="shared" ref="C143:AL143" si="84">C142/$B$142*100</f>
        <v>16.666666666666664</v>
      </c>
      <c r="D143" s="207">
        <f t="shared" si="84"/>
        <v>16.666666666666664</v>
      </c>
      <c r="E143" s="207">
        <f t="shared" si="84"/>
        <v>16.666666666666664</v>
      </c>
      <c r="F143" s="207">
        <f t="shared" si="84"/>
        <v>25</v>
      </c>
      <c r="G143" s="207">
        <f t="shared" si="84"/>
        <v>16.666666666666664</v>
      </c>
      <c r="H143" s="207">
        <f t="shared" si="84"/>
        <v>0</v>
      </c>
      <c r="I143" s="207">
        <f t="shared" si="84"/>
        <v>0</v>
      </c>
      <c r="J143" s="207">
        <f t="shared" si="84"/>
        <v>8.3333333333333321</v>
      </c>
      <c r="K143" s="207">
        <f t="shared" si="84"/>
        <v>0</v>
      </c>
      <c r="L143" s="207">
        <f t="shared" si="84"/>
        <v>0</v>
      </c>
      <c r="M143" s="207">
        <f t="shared" si="84"/>
        <v>0</v>
      </c>
      <c r="N143" s="207">
        <f t="shared" si="84"/>
        <v>0</v>
      </c>
      <c r="O143" s="207">
        <f t="shared" si="84"/>
        <v>0</v>
      </c>
      <c r="P143" s="207">
        <f t="shared" si="84"/>
        <v>0</v>
      </c>
      <c r="Q143" s="207">
        <f t="shared" si="84"/>
        <v>0</v>
      </c>
      <c r="R143" s="207">
        <f t="shared" si="84"/>
        <v>25</v>
      </c>
      <c r="S143" s="207">
        <f t="shared" si="84"/>
        <v>8.3333333333333321</v>
      </c>
      <c r="T143" s="207">
        <f t="shared" si="84"/>
        <v>8.3333333333333321</v>
      </c>
      <c r="U143" s="207">
        <f t="shared" si="84"/>
        <v>25</v>
      </c>
      <c r="V143" s="207">
        <f t="shared" si="84"/>
        <v>25</v>
      </c>
      <c r="W143" s="207">
        <f t="shared" si="84"/>
        <v>8.3333333333333321</v>
      </c>
      <c r="X143" s="207">
        <f t="shared" si="84"/>
        <v>8.3333333333333321</v>
      </c>
      <c r="Y143" s="207">
        <f t="shared" si="84"/>
        <v>0</v>
      </c>
      <c r="Z143" s="207">
        <f t="shared" si="84"/>
        <v>16.666666666666664</v>
      </c>
      <c r="AA143" s="207">
        <f t="shared" si="84"/>
        <v>0</v>
      </c>
      <c r="AB143" s="207">
        <f t="shared" si="84"/>
        <v>16.666666666666664</v>
      </c>
      <c r="AC143" s="207">
        <f t="shared" si="84"/>
        <v>0</v>
      </c>
      <c r="AD143" s="207">
        <f t="shared" si="84"/>
        <v>0</v>
      </c>
      <c r="AE143" s="207">
        <f t="shared" si="84"/>
        <v>25</v>
      </c>
      <c r="AF143" s="207">
        <f t="shared" si="84"/>
        <v>0</v>
      </c>
      <c r="AG143" s="207">
        <f t="shared" si="84"/>
        <v>8.3333333333333321</v>
      </c>
      <c r="AH143" s="207">
        <f t="shared" si="84"/>
        <v>0</v>
      </c>
      <c r="AI143" s="207">
        <f t="shared" si="84"/>
        <v>0</v>
      </c>
      <c r="AJ143" s="207">
        <f t="shared" si="84"/>
        <v>16.666666666666664</v>
      </c>
      <c r="AK143" s="207">
        <f t="shared" si="84"/>
        <v>8.3333333333333321</v>
      </c>
      <c r="AL143" s="207">
        <f t="shared" si="84"/>
        <v>0</v>
      </c>
      <c r="AM143" s="208"/>
      <c r="AN143" s="195"/>
    </row>
    <row r="144" spans="1:43" ht="13.5" customHeight="1" x14ac:dyDescent="0.2">
      <c r="A144" s="269" t="str">
        <f>'問10-1M（表）'!A144</f>
        <v>会社・団体役員(n = 171 )　　</v>
      </c>
      <c r="B144" s="34">
        <f>'問9S（表）'!B74</f>
        <v>171</v>
      </c>
      <c r="C144" s="31">
        <v>20</v>
      </c>
      <c r="D144" s="32">
        <v>6</v>
      </c>
      <c r="E144" s="32">
        <v>19</v>
      </c>
      <c r="F144" s="32">
        <v>18</v>
      </c>
      <c r="G144" s="32">
        <v>19</v>
      </c>
      <c r="H144" s="32">
        <v>13</v>
      </c>
      <c r="I144" s="32">
        <v>11</v>
      </c>
      <c r="J144" s="32">
        <v>24</v>
      </c>
      <c r="K144" s="32">
        <v>7</v>
      </c>
      <c r="L144" s="32">
        <v>5</v>
      </c>
      <c r="M144" s="32">
        <v>4</v>
      </c>
      <c r="N144" s="32">
        <v>13</v>
      </c>
      <c r="O144" s="32">
        <v>10</v>
      </c>
      <c r="P144" s="32">
        <v>37</v>
      </c>
      <c r="Q144" s="32">
        <v>37</v>
      </c>
      <c r="R144" s="32">
        <v>21</v>
      </c>
      <c r="S144" s="32">
        <v>23</v>
      </c>
      <c r="T144" s="32">
        <v>12</v>
      </c>
      <c r="U144" s="32">
        <v>23</v>
      </c>
      <c r="V144" s="32">
        <v>7</v>
      </c>
      <c r="W144" s="32">
        <v>21</v>
      </c>
      <c r="X144" s="32">
        <v>10</v>
      </c>
      <c r="Y144" s="32">
        <v>17</v>
      </c>
      <c r="Z144" s="32">
        <v>8</v>
      </c>
      <c r="AA144" s="32">
        <v>6</v>
      </c>
      <c r="AB144" s="32">
        <v>14</v>
      </c>
      <c r="AC144" s="32">
        <v>13</v>
      </c>
      <c r="AD144" s="32">
        <v>6</v>
      </c>
      <c r="AE144" s="32">
        <v>34</v>
      </c>
      <c r="AF144" s="32">
        <v>11</v>
      </c>
      <c r="AG144" s="32">
        <v>14</v>
      </c>
      <c r="AH144" s="32">
        <v>6</v>
      </c>
      <c r="AI144" s="32">
        <v>1</v>
      </c>
      <c r="AJ144" s="32">
        <v>6</v>
      </c>
      <c r="AK144" s="32">
        <v>41</v>
      </c>
      <c r="AL144" s="32">
        <v>26</v>
      </c>
      <c r="AM144" s="33"/>
      <c r="AN144" s="5">
        <f>SUM(C144:AM144)</f>
        <v>563</v>
      </c>
      <c r="AO144" t="str">
        <f>" 会社・団体役員（ n = "&amp;B144&amp;"）"</f>
        <v xml:space="preserve"> 会社・団体役員（ n = 171）</v>
      </c>
      <c r="AQ144">
        <v>3</v>
      </c>
    </row>
    <row r="145" spans="1:43" x14ac:dyDescent="0.2">
      <c r="A145" s="270"/>
      <c r="B145" s="35">
        <f>'問9S（表）'!B75</f>
        <v>10.581683168316831</v>
      </c>
      <c r="C145" s="20">
        <f t="shared" ref="C145:AL145" si="85">C144/$B$144*100</f>
        <v>11.695906432748536</v>
      </c>
      <c r="D145" s="207">
        <f t="shared" si="85"/>
        <v>3.5087719298245612</v>
      </c>
      <c r="E145" s="207">
        <f t="shared" si="85"/>
        <v>11.111111111111111</v>
      </c>
      <c r="F145" s="207">
        <f t="shared" si="85"/>
        <v>10.526315789473683</v>
      </c>
      <c r="G145" s="207">
        <f t="shared" si="85"/>
        <v>11.111111111111111</v>
      </c>
      <c r="H145" s="207">
        <f t="shared" si="85"/>
        <v>7.6023391812865491</v>
      </c>
      <c r="I145" s="207">
        <f t="shared" si="85"/>
        <v>6.4327485380116958</v>
      </c>
      <c r="J145" s="207">
        <f t="shared" si="85"/>
        <v>14.035087719298245</v>
      </c>
      <c r="K145" s="207">
        <f t="shared" si="85"/>
        <v>4.0935672514619883</v>
      </c>
      <c r="L145" s="207">
        <f t="shared" si="85"/>
        <v>2.9239766081871341</v>
      </c>
      <c r="M145" s="207">
        <f t="shared" si="85"/>
        <v>2.3391812865497075</v>
      </c>
      <c r="N145" s="207">
        <f t="shared" si="85"/>
        <v>7.6023391812865491</v>
      </c>
      <c r="O145" s="207">
        <f t="shared" si="85"/>
        <v>5.8479532163742682</v>
      </c>
      <c r="P145" s="207">
        <f t="shared" si="85"/>
        <v>21.637426900584796</v>
      </c>
      <c r="Q145" s="207">
        <f t="shared" si="85"/>
        <v>21.637426900584796</v>
      </c>
      <c r="R145" s="207">
        <f t="shared" si="85"/>
        <v>12.280701754385964</v>
      </c>
      <c r="S145" s="207">
        <f t="shared" si="85"/>
        <v>13.450292397660817</v>
      </c>
      <c r="T145" s="207">
        <f t="shared" si="85"/>
        <v>7.0175438596491224</v>
      </c>
      <c r="U145" s="207">
        <f t="shared" si="85"/>
        <v>13.450292397660817</v>
      </c>
      <c r="V145" s="207">
        <f t="shared" si="85"/>
        <v>4.0935672514619883</v>
      </c>
      <c r="W145" s="207">
        <f t="shared" si="85"/>
        <v>12.280701754385964</v>
      </c>
      <c r="X145" s="207">
        <f t="shared" si="85"/>
        <v>5.8479532163742682</v>
      </c>
      <c r="Y145" s="207">
        <f t="shared" si="85"/>
        <v>9.9415204678362574</v>
      </c>
      <c r="Z145" s="207">
        <f t="shared" si="85"/>
        <v>4.6783625730994149</v>
      </c>
      <c r="AA145" s="207">
        <f t="shared" si="85"/>
        <v>3.5087719298245612</v>
      </c>
      <c r="AB145" s="207">
        <f t="shared" si="85"/>
        <v>8.1871345029239766</v>
      </c>
      <c r="AC145" s="207">
        <f t="shared" si="85"/>
        <v>7.6023391812865491</v>
      </c>
      <c r="AD145" s="207">
        <f t="shared" si="85"/>
        <v>3.5087719298245612</v>
      </c>
      <c r="AE145" s="207">
        <f t="shared" si="85"/>
        <v>19.883040935672515</v>
      </c>
      <c r="AF145" s="207">
        <f t="shared" si="85"/>
        <v>6.4327485380116958</v>
      </c>
      <c r="AG145" s="207">
        <f t="shared" si="85"/>
        <v>8.1871345029239766</v>
      </c>
      <c r="AH145" s="207">
        <f t="shared" si="85"/>
        <v>3.5087719298245612</v>
      </c>
      <c r="AI145" s="207">
        <f t="shared" si="85"/>
        <v>0.58479532163742687</v>
      </c>
      <c r="AJ145" s="207">
        <f t="shared" si="85"/>
        <v>3.5087719298245612</v>
      </c>
      <c r="AK145" s="207">
        <f t="shared" si="85"/>
        <v>23.976608187134502</v>
      </c>
      <c r="AL145" s="207">
        <f t="shared" si="85"/>
        <v>15.204678362573098</v>
      </c>
      <c r="AM145" s="208"/>
      <c r="AN145" s="195"/>
    </row>
    <row r="146" spans="1:43" ht="13.5" customHeight="1" x14ac:dyDescent="0.2">
      <c r="A146" s="271" t="str">
        <f>'問10-1M（表）'!A146</f>
        <v>正規の従業員・職員(n = 423 )　　</v>
      </c>
      <c r="B146" s="34">
        <f>'問9S（表）'!B76</f>
        <v>423</v>
      </c>
      <c r="C146" s="31">
        <v>50</v>
      </c>
      <c r="D146" s="32">
        <v>18</v>
      </c>
      <c r="E146" s="32">
        <v>26</v>
      </c>
      <c r="F146" s="32">
        <v>30</v>
      </c>
      <c r="G146" s="32">
        <v>41</v>
      </c>
      <c r="H146" s="32">
        <v>31</v>
      </c>
      <c r="I146" s="32">
        <v>33</v>
      </c>
      <c r="J146" s="32">
        <v>55</v>
      </c>
      <c r="K146" s="32">
        <v>15</v>
      </c>
      <c r="L146" s="32">
        <v>10</v>
      </c>
      <c r="M146" s="32">
        <v>8</v>
      </c>
      <c r="N146" s="32">
        <v>55</v>
      </c>
      <c r="O146" s="32">
        <v>24</v>
      </c>
      <c r="P146" s="32">
        <v>95</v>
      </c>
      <c r="Q146" s="32">
        <v>88</v>
      </c>
      <c r="R146" s="32">
        <v>32</v>
      </c>
      <c r="S146" s="32">
        <v>48</v>
      </c>
      <c r="T146" s="32">
        <v>21</v>
      </c>
      <c r="U146" s="32">
        <v>56</v>
      </c>
      <c r="V146" s="32">
        <v>31</v>
      </c>
      <c r="W146" s="32">
        <v>59</v>
      </c>
      <c r="X146" s="32">
        <v>31</v>
      </c>
      <c r="Y146" s="32">
        <v>48</v>
      </c>
      <c r="Z146" s="32">
        <v>9</v>
      </c>
      <c r="AA146" s="32">
        <v>12</v>
      </c>
      <c r="AB146" s="32">
        <v>48</v>
      </c>
      <c r="AC146" s="32">
        <v>24</v>
      </c>
      <c r="AD146" s="32">
        <v>19</v>
      </c>
      <c r="AE146" s="32">
        <v>79</v>
      </c>
      <c r="AF146" s="32">
        <v>30</v>
      </c>
      <c r="AG146" s="32">
        <v>39</v>
      </c>
      <c r="AH146" s="32">
        <v>7</v>
      </c>
      <c r="AI146" s="32">
        <v>20</v>
      </c>
      <c r="AJ146" s="32">
        <v>15</v>
      </c>
      <c r="AK146" s="32">
        <v>95</v>
      </c>
      <c r="AL146" s="32">
        <v>46</v>
      </c>
      <c r="AM146" s="33"/>
      <c r="AN146" s="5">
        <f>SUM(C146:AM146)</f>
        <v>1348</v>
      </c>
      <c r="AO146" t="str">
        <f>" 正規の従業員・職員（ n = "&amp;B146&amp;"）"</f>
        <v xml:space="preserve"> 正規の従業員・職員（ n = 423）</v>
      </c>
      <c r="AQ146">
        <v>4</v>
      </c>
    </row>
    <row r="147" spans="1:43" x14ac:dyDescent="0.2">
      <c r="A147" s="272"/>
      <c r="B147" s="35">
        <f>'問9S（表）'!B77</f>
        <v>26.175742574257427</v>
      </c>
      <c r="C147" s="20">
        <f t="shared" ref="C147:AL147" si="86">C146/$B$146*100</f>
        <v>11.82033096926714</v>
      </c>
      <c r="D147" s="207">
        <f t="shared" si="86"/>
        <v>4.2553191489361701</v>
      </c>
      <c r="E147" s="207">
        <f t="shared" si="86"/>
        <v>6.1465721040189125</v>
      </c>
      <c r="F147" s="207">
        <f t="shared" si="86"/>
        <v>7.0921985815602842</v>
      </c>
      <c r="G147" s="207">
        <f t="shared" si="86"/>
        <v>9.6926713947990546</v>
      </c>
      <c r="H147" s="207">
        <f t="shared" si="86"/>
        <v>7.328605200945626</v>
      </c>
      <c r="I147" s="207">
        <f t="shared" si="86"/>
        <v>7.8014184397163122</v>
      </c>
      <c r="J147" s="207">
        <f t="shared" si="86"/>
        <v>13.002364066193852</v>
      </c>
      <c r="K147" s="207">
        <f t="shared" si="86"/>
        <v>3.5460992907801421</v>
      </c>
      <c r="L147" s="207">
        <f t="shared" si="86"/>
        <v>2.3640661938534278</v>
      </c>
      <c r="M147" s="207">
        <f t="shared" si="86"/>
        <v>1.8912529550827424</v>
      </c>
      <c r="N147" s="207">
        <f t="shared" si="86"/>
        <v>13.002364066193852</v>
      </c>
      <c r="O147" s="207">
        <f t="shared" si="86"/>
        <v>5.6737588652482271</v>
      </c>
      <c r="P147" s="207">
        <f t="shared" si="86"/>
        <v>22.458628841607563</v>
      </c>
      <c r="Q147" s="207">
        <f t="shared" si="86"/>
        <v>20.803782505910164</v>
      </c>
      <c r="R147" s="207">
        <f t="shared" si="86"/>
        <v>7.5650118203309695</v>
      </c>
      <c r="S147" s="207">
        <f t="shared" si="86"/>
        <v>11.347517730496454</v>
      </c>
      <c r="T147" s="207">
        <f t="shared" si="86"/>
        <v>4.9645390070921991</v>
      </c>
      <c r="U147" s="207">
        <f t="shared" si="86"/>
        <v>13.238770685579196</v>
      </c>
      <c r="V147" s="207">
        <f t="shared" si="86"/>
        <v>7.328605200945626</v>
      </c>
      <c r="W147" s="207">
        <f t="shared" si="86"/>
        <v>13.947990543735225</v>
      </c>
      <c r="X147" s="207">
        <f t="shared" si="86"/>
        <v>7.328605200945626</v>
      </c>
      <c r="Y147" s="207">
        <f t="shared" si="86"/>
        <v>11.347517730496454</v>
      </c>
      <c r="Z147" s="207">
        <f t="shared" si="86"/>
        <v>2.1276595744680851</v>
      </c>
      <c r="AA147" s="207">
        <f t="shared" si="86"/>
        <v>2.8368794326241136</v>
      </c>
      <c r="AB147" s="207">
        <f t="shared" si="86"/>
        <v>11.347517730496454</v>
      </c>
      <c r="AC147" s="207">
        <f t="shared" si="86"/>
        <v>5.6737588652482271</v>
      </c>
      <c r="AD147" s="207">
        <f t="shared" si="86"/>
        <v>4.4917257683215128</v>
      </c>
      <c r="AE147" s="207">
        <f t="shared" si="86"/>
        <v>18.67612293144208</v>
      </c>
      <c r="AF147" s="207">
        <f t="shared" si="86"/>
        <v>7.0921985815602842</v>
      </c>
      <c r="AG147" s="207">
        <f t="shared" si="86"/>
        <v>9.2198581560283674</v>
      </c>
      <c r="AH147" s="207">
        <f t="shared" si="86"/>
        <v>1.6548463356973995</v>
      </c>
      <c r="AI147" s="207">
        <f t="shared" si="86"/>
        <v>4.7281323877068555</v>
      </c>
      <c r="AJ147" s="207">
        <f t="shared" si="86"/>
        <v>3.5460992907801421</v>
      </c>
      <c r="AK147" s="207">
        <f t="shared" si="86"/>
        <v>22.458628841607563</v>
      </c>
      <c r="AL147" s="207">
        <f t="shared" si="86"/>
        <v>10.874704491725769</v>
      </c>
      <c r="AM147" s="208"/>
      <c r="AN147" s="195"/>
    </row>
    <row r="148" spans="1:43" ht="13.5" customHeight="1" x14ac:dyDescent="0.2">
      <c r="A148" s="265" t="str">
        <f>'問10-1M（表）'!A148</f>
        <v>パートタイム・アルバイト・派遣(n = 346 )　　</v>
      </c>
      <c r="B148" s="34">
        <f>'問9S（表）'!B78</f>
        <v>346</v>
      </c>
      <c r="C148" s="31">
        <v>49</v>
      </c>
      <c r="D148" s="32">
        <v>23</v>
      </c>
      <c r="E148" s="32">
        <v>20</v>
      </c>
      <c r="F148" s="32">
        <v>28</v>
      </c>
      <c r="G148" s="32">
        <v>45</v>
      </c>
      <c r="H148" s="32">
        <v>25</v>
      </c>
      <c r="I148" s="32">
        <v>24</v>
      </c>
      <c r="J148" s="32">
        <v>54</v>
      </c>
      <c r="K148" s="32">
        <v>12</v>
      </c>
      <c r="L148" s="32">
        <v>11</v>
      </c>
      <c r="M148" s="32">
        <v>7</v>
      </c>
      <c r="N148" s="32">
        <v>49</v>
      </c>
      <c r="O148" s="32">
        <v>26</v>
      </c>
      <c r="P148" s="32">
        <v>57</v>
      </c>
      <c r="Q148" s="32">
        <v>56</v>
      </c>
      <c r="R148" s="32">
        <v>31</v>
      </c>
      <c r="S148" s="32">
        <v>36</v>
      </c>
      <c r="T148" s="32">
        <v>9</v>
      </c>
      <c r="U148" s="32">
        <v>34</v>
      </c>
      <c r="V148" s="32">
        <v>54</v>
      </c>
      <c r="W148" s="32">
        <v>56</v>
      </c>
      <c r="X148" s="32">
        <v>26</v>
      </c>
      <c r="Y148" s="32">
        <v>40</v>
      </c>
      <c r="Z148" s="32">
        <v>14</v>
      </c>
      <c r="AA148" s="32">
        <v>11</v>
      </c>
      <c r="AB148" s="32">
        <v>40</v>
      </c>
      <c r="AC148" s="32">
        <v>20</v>
      </c>
      <c r="AD148" s="32">
        <v>14</v>
      </c>
      <c r="AE148" s="32">
        <v>66</v>
      </c>
      <c r="AF148" s="32">
        <v>33</v>
      </c>
      <c r="AG148" s="32">
        <v>30</v>
      </c>
      <c r="AH148" s="32">
        <v>8</v>
      </c>
      <c r="AI148" s="32">
        <v>17</v>
      </c>
      <c r="AJ148" s="32">
        <v>10</v>
      </c>
      <c r="AK148" s="32">
        <v>72</v>
      </c>
      <c r="AL148" s="32">
        <v>43</v>
      </c>
      <c r="AM148" s="33"/>
      <c r="AN148" s="5">
        <f>SUM(C148:AM148)</f>
        <v>1150</v>
      </c>
      <c r="AO148" t="str">
        <f>" パートタイム・アルバイト・派遣（ n = "&amp;B148&amp;"）"</f>
        <v xml:space="preserve"> パートタイム・アルバイト・派遣（ n = 346）</v>
      </c>
      <c r="AQ148">
        <v>5</v>
      </c>
    </row>
    <row r="149" spans="1:43" x14ac:dyDescent="0.2">
      <c r="A149" s="266"/>
      <c r="B149" s="35">
        <f>'問9S（表）'!B79</f>
        <v>21.410891089108912</v>
      </c>
      <c r="C149" s="20">
        <f t="shared" ref="C149:AL149" si="87">C148/$B$148*100</f>
        <v>14.16184971098266</v>
      </c>
      <c r="D149" s="207">
        <f t="shared" si="87"/>
        <v>6.6473988439306355</v>
      </c>
      <c r="E149" s="207">
        <f t="shared" si="87"/>
        <v>5.7803468208092488</v>
      </c>
      <c r="F149" s="207">
        <f t="shared" si="87"/>
        <v>8.0924855491329488</v>
      </c>
      <c r="G149" s="207">
        <f t="shared" si="87"/>
        <v>13.005780346820808</v>
      </c>
      <c r="H149" s="207">
        <f t="shared" si="87"/>
        <v>7.2254335260115612</v>
      </c>
      <c r="I149" s="207">
        <f t="shared" si="87"/>
        <v>6.9364161849710975</v>
      </c>
      <c r="J149" s="207">
        <f t="shared" si="87"/>
        <v>15.606936416184972</v>
      </c>
      <c r="K149" s="207">
        <f t="shared" si="87"/>
        <v>3.4682080924855487</v>
      </c>
      <c r="L149" s="207">
        <f t="shared" si="87"/>
        <v>3.1791907514450863</v>
      </c>
      <c r="M149" s="207">
        <f t="shared" si="87"/>
        <v>2.0231213872832372</v>
      </c>
      <c r="N149" s="207">
        <f t="shared" si="87"/>
        <v>14.16184971098266</v>
      </c>
      <c r="O149" s="207">
        <f t="shared" si="87"/>
        <v>7.5144508670520231</v>
      </c>
      <c r="P149" s="207">
        <f t="shared" si="87"/>
        <v>16.473988439306357</v>
      </c>
      <c r="Q149" s="207">
        <f t="shared" si="87"/>
        <v>16.184971098265898</v>
      </c>
      <c r="R149" s="207">
        <f t="shared" si="87"/>
        <v>8.9595375722543356</v>
      </c>
      <c r="S149" s="207">
        <f t="shared" si="87"/>
        <v>10.404624277456648</v>
      </c>
      <c r="T149" s="207">
        <f t="shared" si="87"/>
        <v>2.601156069364162</v>
      </c>
      <c r="U149" s="207">
        <f t="shared" si="87"/>
        <v>9.8265895953757223</v>
      </c>
      <c r="V149" s="207">
        <f t="shared" si="87"/>
        <v>15.606936416184972</v>
      </c>
      <c r="W149" s="207">
        <f t="shared" si="87"/>
        <v>16.184971098265898</v>
      </c>
      <c r="X149" s="207">
        <f t="shared" si="87"/>
        <v>7.5144508670520231</v>
      </c>
      <c r="Y149" s="207">
        <f t="shared" si="87"/>
        <v>11.560693641618498</v>
      </c>
      <c r="Z149" s="207">
        <f t="shared" si="87"/>
        <v>4.0462427745664744</v>
      </c>
      <c r="AA149" s="207">
        <f t="shared" si="87"/>
        <v>3.1791907514450863</v>
      </c>
      <c r="AB149" s="207">
        <f t="shared" si="87"/>
        <v>11.560693641618498</v>
      </c>
      <c r="AC149" s="207">
        <f t="shared" si="87"/>
        <v>5.7803468208092488</v>
      </c>
      <c r="AD149" s="207">
        <f t="shared" si="87"/>
        <v>4.0462427745664744</v>
      </c>
      <c r="AE149" s="207">
        <f t="shared" si="87"/>
        <v>19.075144508670519</v>
      </c>
      <c r="AF149" s="207">
        <f t="shared" si="87"/>
        <v>9.5375722543352595</v>
      </c>
      <c r="AG149" s="207">
        <f t="shared" si="87"/>
        <v>8.6705202312138727</v>
      </c>
      <c r="AH149" s="207">
        <f t="shared" si="87"/>
        <v>2.3121387283236992</v>
      </c>
      <c r="AI149" s="207">
        <f t="shared" si="87"/>
        <v>4.9132947976878611</v>
      </c>
      <c r="AJ149" s="207">
        <f t="shared" si="87"/>
        <v>2.8901734104046244</v>
      </c>
      <c r="AK149" s="207">
        <f t="shared" si="87"/>
        <v>20.809248554913296</v>
      </c>
      <c r="AL149" s="207">
        <f t="shared" si="87"/>
        <v>12.427745664739884</v>
      </c>
      <c r="AM149" s="208"/>
      <c r="AN149" s="237"/>
    </row>
    <row r="150" spans="1:43" ht="13.5" customHeight="1" x14ac:dyDescent="0.2">
      <c r="A150" s="269" t="str">
        <f>'問10-1M（表）'!A150</f>
        <v>学生(n = 44 )　　</v>
      </c>
      <c r="B150" s="34">
        <f>'問9S（表）'!B80</f>
        <v>44</v>
      </c>
      <c r="C150" s="31">
        <v>3</v>
      </c>
      <c r="D150" s="32">
        <v>0</v>
      </c>
      <c r="E150" s="32">
        <v>1</v>
      </c>
      <c r="F150" s="32">
        <v>1</v>
      </c>
      <c r="G150" s="32">
        <v>1</v>
      </c>
      <c r="H150" s="32">
        <v>1</v>
      </c>
      <c r="I150" s="32">
        <v>2</v>
      </c>
      <c r="J150" s="32">
        <v>3</v>
      </c>
      <c r="K150" s="32">
        <v>0</v>
      </c>
      <c r="L150" s="32">
        <v>0</v>
      </c>
      <c r="M150" s="32">
        <v>2</v>
      </c>
      <c r="N150" s="32">
        <v>2</v>
      </c>
      <c r="O150" s="32">
        <v>4</v>
      </c>
      <c r="P150" s="32">
        <v>8</v>
      </c>
      <c r="Q150" s="32">
        <v>5</v>
      </c>
      <c r="R150" s="32">
        <v>2</v>
      </c>
      <c r="S150" s="32">
        <v>1</v>
      </c>
      <c r="T150" s="32">
        <v>5</v>
      </c>
      <c r="U150" s="32">
        <v>6</v>
      </c>
      <c r="V150" s="32">
        <v>6</v>
      </c>
      <c r="W150" s="32">
        <v>9</v>
      </c>
      <c r="X150" s="32">
        <v>2</v>
      </c>
      <c r="Y150" s="32">
        <v>8</v>
      </c>
      <c r="Z150" s="32">
        <v>1</v>
      </c>
      <c r="AA150" s="32">
        <v>1</v>
      </c>
      <c r="AB150" s="32">
        <v>1</v>
      </c>
      <c r="AC150" s="32">
        <v>1</v>
      </c>
      <c r="AD150" s="32">
        <v>0</v>
      </c>
      <c r="AE150" s="32">
        <v>5</v>
      </c>
      <c r="AF150" s="32">
        <v>3</v>
      </c>
      <c r="AG150" s="32">
        <v>6</v>
      </c>
      <c r="AH150" s="32">
        <v>6</v>
      </c>
      <c r="AI150" s="32">
        <v>4</v>
      </c>
      <c r="AJ150" s="32">
        <v>4</v>
      </c>
      <c r="AK150" s="32">
        <v>10</v>
      </c>
      <c r="AL150" s="32">
        <v>8</v>
      </c>
      <c r="AM150" s="33"/>
      <c r="AN150" s="5">
        <f>SUM(C150:AM150)</f>
        <v>122</v>
      </c>
      <c r="AO150" t="str">
        <f>" 学生（ n = "&amp;B150&amp;"）"</f>
        <v xml:space="preserve"> 学生（ n = 44）</v>
      </c>
      <c r="AQ150">
        <v>6</v>
      </c>
    </row>
    <row r="151" spans="1:43" x14ac:dyDescent="0.2">
      <c r="A151" s="270"/>
      <c r="B151" s="35">
        <f>'問9S（表）'!B81</f>
        <v>2.722772277227723</v>
      </c>
      <c r="C151" s="20">
        <f t="shared" ref="C151:AL151" si="88">C150/$B$150*100</f>
        <v>6.8181818181818175</v>
      </c>
      <c r="D151" s="207">
        <f t="shared" si="88"/>
        <v>0</v>
      </c>
      <c r="E151" s="207">
        <f t="shared" si="88"/>
        <v>2.2727272727272729</v>
      </c>
      <c r="F151" s="207">
        <f t="shared" si="88"/>
        <v>2.2727272727272729</v>
      </c>
      <c r="G151" s="207">
        <f t="shared" si="88"/>
        <v>2.2727272727272729</v>
      </c>
      <c r="H151" s="207">
        <f t="shared" si="88"/>
        <v>2.2727272727272729</v>
      </c>
      <c r="I151" s="207">
        <f t="shared" si="88"/>
        <v>4.5454545454545459</v>
      </c>
      <c r="J151" s="207">
        <f t="shared" si="88"/>
        <v>6.8181818181818175</v>
      </c>
      <c r="K151" s="207">
        <f t="shared" si="88"/>
        <v>0</v>
      </c>
      <c r="L151" s="207">
        <f t="shared" si="88"/>
        <v>0</v>
      </c>
      <c r="M151" s="207">
        <f t="shared" si="88"/>
        <v>4.5454545454545459</v>
      </c>
      <c r="N151" s="207">
        <f t="shared" si="88"/>
        <v>4.5454545454545459</v>
      </c>
      <c r="O151" s="207">
        <f t="shared" si="88"/>
        <v>9.0909090909090917</v>
      </c>
      <c r="P151" s="207">
        <f t="shared" si="88"/>
        <v>18.181818181818183</v>
      </c>
      <c r="Q151" s="207">
        <f t="shared" si="88"/>
        <v>11.363636363636363</v>
      </c>
      <c r="R151" s="207">
        <f t="shared" si="88"/>
        <v>4.5454545454545459</v>
      </c>
      <c r="S151" s="207">
        <f t="shared" si="88"/>
        <v>2.2727272727272729</v>
      </c>
      <c r="T151" s="207">
        <f t="shared" si="88"/>
        <v>11.363636363636363</v>
      </c>
      <c r="U151" s="207">
        <f t="shared" si="88"/>
        <v>13.636363636363635</v>
      </c>
      <c r="V151" s="207">
        <f t="shared" si="88"/>
        <v>13.636363636363635</v>
      </c>
      <c r="W151" s="207">
        <f t="shared" si="88"/>
        <v>20.454545454545457</v>
      </c>
      <c r="X151" s="207">
        <f t="shared" si="88"/>
        <v>4.5454545454545459</v>
      </c>
      <c r="Y151" s="207">
        <f t="shared" si="88"/>
        <v>18.181818181818183</v>
      </c>
      <c r="Z151" s="207">
        <f t="shared" si="88"/>
        <v>2.2727272727272729</v>
      </c>
      <c r="AA151" s="207">
        <f t="shared" si="88"/>
        <v>2.2727272727272729</v>
      </c>
      <c r="AB151" s="207">
        <f t="shared" si="88"/>
        <v>2.2727272727272729</v>
      </c>
      <c r="AC151" s="207">
        <f t="shared" si="88"/>
        <v>2.2727272727272729</v>
      </c>
      <c r="AD151" s="207">
        <f t="shared" si="88"/>
        <v>0</v>
      </c>
      <c r="AE151" s="207">
        <f t="shared" si="88"/>
        <v>11.363636363636363</v>
      </c>
      <c r="AF151" s="207">
        <f t="shared" si="88"/>
        <v>6.8181818181818175</v>
      </c>
      <c r="AG151" s="207">
        <f t="shared" si="88"/>
        <v>13.636363636363635</v>
      </c>
      <c r="AH151" s="207">
        <f t="shared" si="88"/>
        <v>13.636363636363635</v>
      </c>
      <c r="AI151" s="207">
        <f t="shared" si="88"/>
        <v>9.0909090909090917</v>
      </c>
      <c r="AJ151" s="207">
        <f t="shared" si="88"/>
        <v>9.0909090909090917</v>
      </c>
      <c r="AK151" s="207">
        <f t="shared" si="88"/>
        <v>22.727272727272727</v>
      </c>
      <c r="AL151" s="207">
        <f t="shared" si="88"/>
        <v>18.181818181818183</v>
      </c>
      <c r="AM151" s="208"/>
      <c r="AN151" s="195"/>
    </row>
    <row r="152" spans="1:43" ht="13.5" customHeight="1" x14ac:dyDescent="0.2">
      <c r="A152" s="269" t="str">
        <f>'問10-1M（表）'!A152</f>
        <v>家事従事(n = 150 )　　</v>
      </c>
      <c r="B152" s="34">
        <f>'問9S（表）'!B82</f>
        <v>150</v>
      </c>
      <c r="C152" s="31">
        <v>17</v>
      </c>
      <c r="D152" s="32">
        <v>9</v>
      </c>
      <c r="E152" s="32">
        <v>8</v>
      </c>
      <c r="F152" s="32">
        <v>10</v>
      </c>
      <c r="G152" s="32">
        <v>11</v>
      </c>
      <c r="H152" s="32">
        <v>12</v>
      </c>
      <c r="I152" s="32">
        <v>7</v>
      </c>
      <c r="J152" s="32">
        <v>20</v>
      </c>
      <c r="K152" s="32">
        <v>5</v>
      </c>
      <c r="L152" s="32">
        <v>2</v>
      </c>
      <c r="M152" s="32">
        <v>5</v>
      </c>
      <c r="N152" s="32">
        <v>26</v>
      </c>
      <c r="O152" s="32">
        <v>10</v>
      </c>
      <c r="P152" s="32">
        <v>25</v>
      </c>
      <c r="Q152" s="32">
        <v>21</v>
      </c>
      <c r="R152" s="32">
        <v>4</v>
      </c>
      <c r="S152" s="32">
        <v>8</v>
      </c>
      <c r="T152" s="32">
        <v>4</v>
      </c>
      <c r="U152" s="32">
        <v>9</v>
      </c>
      <c r="V152" s="32">
        <v>12</v>
      </c>
      <c r="W152" s="32">
        <v>11</v>
      </c>
      <c r="X152" s="32">
        <v>10</v>
      </c>
      <c r="Y152" s="32">
        <v>17</v>
      </c>
      <c r="Z152" s="32">
        <v>12</v>
      </c>
      <c r="AA152" s="32">
        <v>5</v>
      </c>
      <c r="AB152" s="32">
        <v>16</v>
      </c>
      <c r="AC152" s="32">
        <v>10</v>
      </c>
      <c r="AD152" s="32">
        <v>4</v>
      </c>
      <c r="AE152" s="32">
        <v>28</v>
      </c>
      <c r="AF152" s="32">
        <v>14</v>
      </c>
      <c r="AG152" s="32">
        <v>18</v>
      </c>
      <c r="AH152" s="32">
        <v>3</v>
      </c>
      <c r="AI152" s="32">
        <v>5</v>
      </c>
      <c r="AJ152" s="32">
        <v>4</v>
      </c>
      <c r="AK152" s="32">
        <v>28</v>
      </c>
      <c r="AL152" s="32">
        <v>8</v>
      </c>
      <c r="AM152" s="33"/>
      <c r="AN152" s="5">
        <f>SUM(C152:AM152)</f>
        <v>418</v>
      </c>
      <c r="AO152" t="str">
        <f>" 家事従事（ n = "&amp;B152&amp;"）"</f>
        <v xml:space="preserve"> 家事従事（ n = 150）</v>
      </c>
      <c r="AQ152">
        <v>7</v>
      </c>
    </row>
    <row r="153" spans="1:43" x14ac:dyDescent="0.2">
      <c r="A153" s="270"/>
      <c r="B153" s="35">
        <f>'問9S（表）'!B83</f>
        <v>9.282178217821782</v>
      </c>
      <c r="C153" s="20">
        <f t="shared" ref="C153:AL153" si="89">C152/$B$152*100</f>
        <v>11.333333333333332</v>
      </c>
      <c r="D153" s="207">
        <f t="shared" si="89"/>
        <v>6</v>
      </c>
      <c r="E153" s="207">
        <f t="shared" si="89"/>
        <v>5.3333333333333339</v>
      </c>
      <c r="F153" s="207">
        <f t="shared" si="89"/>
        <v>6.666666666666667</v>
      </c>
      <c r="G153" s="207">
        <f t="shared" si="89"/>
        <v>7.333333333333333</v>
      </c>
      <c r="H153" s="207">
        <f t="shared" si="89"/>
        <v>8</v>
      </c>
      <c r="I153" s="207">
        <f t="shared" si="89"/>
        <v>4.666666666666667</v>
      </c>
      <c r="J153" s="207">
        <f t="shared" si="89"/>
        <v>13.333333333333334</v>
      </c>
      <c r="K153" s="207">
        <f t="shared" si="89"/>
        <v>3.3333333333333335</v>
      </c>
      <c r="L153" s="207">
        <f t="shared" si="89"/>
        <v>1.3333333333333335</v>
      </c>
      <c r="M153" s="207">
        <f t="shared" si="89"/>
        <v>3.3333333333333335</v>
      </c>
      <c r="N153" s="207">
        <f t="shared" si="89"/>
        <v>17.333333333333336</v>
      </c>
      <c r="O153" s="207">
        <f t="shared" si="89"/>
        <v>6.666666666666667</v>
      </c>
      <c r="P153" s="207">
        <f t="shared" si="89"/>
        <v>16.666666666666664</v>
      </c>
      <c r="Q153" s="207">
        <f t="shared" si="89"/>
        <v>14.000000000000002</v>
      </c>
      <c r="R153" s="207">
        <f t="shared" si="89"/>
        <v>2.666666666666667</v>
      </c>
      <c r="S153" s="207">
        <f t="shared" si="89"/>
        <v>5.3333333333333339</v>
      </c>
      <c r="T153" s="207">
        <f t="shared" si="89"/>
        <v>2.666666666666667</v>
      </c>
      <c r="U153" s="207">
        <f t="shared" si="89"/>
        <v>6</v>
      </c>
      <c r="V153" s="207">
        <f t="shared" si="89"/>
        <v>8</v>
      </c>
      <c r="W153" s="207">
        <f t="shared" si="89"/>
        <v>7.333333333333333</v>
      </c>
      <c r="X153" s="207">
        <f t="shared" si="89"/>
        <v>6.666666666666667</v>
      </c>
      <c r="Y153" s="207">
        <f t="shared" si="89"/>
        <v>11.333333333333332</v>
      </c>
      <c r="Z153" s="207">
        <f t="shared" si="89"/>
        <v>8</v>
      </c>
      <c r="AA153" s="207">
        <f t="shared" si="89"/>
        <v>3.3333333333333335</v>
      </c>
      <c r="AB153" s="207">
        <f t="shared" si="89"/>
        <v>10.666666666666668</v>
      </c>
      <c r="AC153" s="207">
        <f t="shared" si="89"/>
        <v>6.666666666666667</v>
      </c>
      <c r="AD153" s="207">
        <f t="shared" si="89"/>
        <v>2.666666666666667</v>
      </c>
      <c r="AE153" s="207">
        <f t="shared" si="89"/>
        <v>18.666666666666668</v>
      </c>
      <c r="AF153" s="207">
        <f t="shared" si="89"/>
        <v>9.3333333333333339</v>
      </c>
      <c r="AG153" s="207">
        <f t="shared" si="89"/>
        <v>12</v>
      </c>
      <c r="AH153" s="207">
        <f t="shared" si="89"/>
        <v>2</v>
      </c>
      <c r="AI153" s="207">
        <f t="shared" si="89"/>
        <v>3.3333333333333335</v>
      </c>
      <c r="AJ153" s="207">
        <f t="shared" si="89"/>
        <v>2.666666666666667</v>
      </c>
      <c r="AK153" s="207">
        <f t="shared" si="89"/>
        <v>18.666666666666668</v>
      </c>
      <c r="AL153" s="207">
        <f t="shared" si="89"/>
        <v>5.3333333333333339</v>
      </c>
      <c r="AM153" s="208"/>
      <c r="AN153" s="195"/>
    </row>
    <row r="154" spans="1:43" ht="13.5" customHeight="1" x14ac:dyDescent="0.2">
      <c r="A154" s="269" t="str">
        <f>'問10-1M（表）'!A154</f>
        <v>無職(n = 263 )　　</v>
      </c>
      <c r="B154" s="34">
        <f>'問9S（表）'!B84</f>
        <v>263</v>
      </c>
      <c r="C154" s="31">
        <v>31</v>
      </c>
      <c r="D154" s="32">
        <v>12</v>
      </c>
      <c r="E154" s="32">
        <v>17</v>
      </c>
      <c r="F154" s="32">
        <v>27</v>
      </c>
      <c r="G154" s="32">
        <v>25</v>
      </c>
      <c r="H154" s="32">
        <v>21</v>
      </c>
      <c r="I154" s="32">
        <v>18</v>
      </c>
      <c r="J154" s="32">
        <v>30</v>
      </c>
      <c r="K154" s="32">
        <v>8</v>
      </c>
      <c r="L154" s="32">
        <v>6</v>
      </c>
      <c r="M154" s="32">
        <v>12</v>
      </c>
      <c r="N154" s="32">
        <v>52</v>
      </c>
      <c r="O154" s="32">
        <v>21</v>
      </c>
      <c r="P154" s="32">
        <v>38</v>
      </c>
      <c r="Q154" s="32">
        <v>18</v>
      </c>
      <c r="R154" s="32">
        <v>15</v>
      </c>
      <c r="S154" s="32">
        <v>21</v>
      </c>
      <c r="T154" s="32">
        <v>14</v>
      </c>
      <c r="U154" s="32">
        <v>23</v>
      </c>
      <c r="V154" s="32">
        <v>21</v>
      </c>
      <c r="W154" s="32">
        <v>13</v>
      </c>
      <c r="X154" s="32">
        <v>16</v>
      </c>
      <c r="Y154" s="32">
        <v>30</v>
      </c>
      <c r="Z154" s="32">
        <v>13</v>
      </c>
      <c r="AA154" s="32">
        <v>13</v>
      </c>
      <c r="AB154" s="32">
        <v>33</v>
      </c>
      <c r="AC154" s="32">
        <v>26</v>
      </c>
      <c r="AD154" s="32">
        <v>15</v>
      </c>
      <c r="AE154" s="32">
        <v>54</v>
      </c>
      <c r="AF154" s="32">
        <v>22</v>
      </c>
      <c r="AG154" s="32">
        <v>19</v>
      </c>
      <c r="AH154" s="32">
        <v>13</v>
      </c>
      <c r="AI154" s="32">
        <v>5</v>
      </c>
      <c r="AJ154" s="32">
        <v>5</v>
      </c>
      <c r="AK154" s="32">
        <v>56</v>
      </c>
      <c r="AL154" s="32">
        <v>28</v>
      </c>
      <c r="AM154" s="33"/>
      <c r="AN154" s="5">
        <f>SUM(C154:AM154)</f>
        <v>791</v>
      </c>
      <c r="AO154" t="str">
        <f>" 無職（ n = "&amp;B154&amp;"）"</f>
        <v xml:space="preserve"> 無職（ n = 263）</v>
      </c>
      <c r="AQ154">
        <v>8</v>
      </c>
    </row>
    <row r="155" spans="1:43" x14ac:dyDescent="0.2">
      <c r="A155" s="270"/>
      <c r="B155" s="35">
        <f>'問9S（表）'!B85</f>
        <v>16.274752475247524</v>
      </c>
      <c r="C155" s="20">
        <f t="shared" ref="C155:AL155" si="90">C154/$B$154*100</f>
        <v>11.787072243346007</v>
      </c>
      <c r="D155" s="207">
        <f t="shared" si="90"/>
        <v>4.5627376425855513</v>
      </c>
      <c r="E155" s="207">
        <f t="shared" si="90"/>
        <v>6.4638783269961975</v>
      </c>
      <c r="F155" s="207">
        <f t="shared" si="90"/>
        <v>10.266159695817491</v>
      </c>
      <c r="G155" s="207">
        <f t="shared" si="90"/>
        <v>9.5057034220532319</v>
      </c>
      <c r="H155" s="207">
        <f t="shared" si="90"/>
        <v>7.9847908745247151</v>
      </c>
      <c r="I155" s="207">
        <f t="shared" si="90"/>
        <v>6.8441064638783269</v>
      </c>
      <c r="J155" s="207">
        <f t="shared" si="90"/>
        <v>11.406844106463879</v>
      </c>
      <c r="K155" s="207">
        <f t="shared" si="90"/>
        <v>3.041825095057034</v>
      </c>
      <c r="L155" s="207">
        <f t="shared" si="90"/>
        <v>2.2813688212927756</v>
      </c>
      <c r="M155" s="207">
        <f t="shared" si="90"/>
        <v>4.5627376425855513</v>
      </c>
      <c r="N155" s="207">
        <f t="shared" si="90"/>
        <v>19.771863117870723</v>
      </c>
      <c r="O155" s="207">
        <f t="shared" si="90"/>
        <v>7.9847908745247151</v>
      </c>
      <c r="P155" s="207">
        <f t="shared" si="90"/>
        <v>14.448669201520911</v>
      </c>
      <c r="Q155" s="207">
        <f t="shared" si="90"/>
        <v>6.8441064638783269</v>
      </c>
      <c r="R155" s="207">
        <f t="shared" si="90"/>
        <v>5.7034220532319395</v>
      </c>
      <c r="S155" s="207">
        <f t="shared" si="90"/>
        <v>7.9847908745247151</v>
      </c>
      <c r="T155" s="207">
        <f t="shared" si="90"/>
        <v>5.3231939163498092</v>
      </c>
      <c r="U155" s="207">
        <f t="shared" si="90"/>
        <v>8.7452471482889731</v>
      </c>
      <c r="V155" s="207">
        <f t="shared" si="90"/>
        <v>7.9847908745247151</v>
      </c>
      <c r="W155" s="207">
        <f t="shared" si="90"/>
        <v>4.9429657794676807</v>
      </c>
      <c r="X155" s="207">
        <f t="shared" si="90"/>
        <v>6.083650190114068</v>
      </c>
      <c r="Y155" s="207">
        <f t="shared" si="90"/>
        <v>11.406844106463879</v>
      </c>
      <c r="Z155" s="207">
        <f t="shared" si="90"/>
        <v>4.9429657794676807</v>
      </c>
      <c r="AA155" s="207">
        <f t="shared" si="90"/>
        <v>4.9429657794676807</v>
      </c>
      <c r="AB155" s="207">
        <f t="shared" si="90"/>
        <v>12.547528517110266</v>
      </c>
      <c r="AC155" s="207">
        <f t="shared" si="90"/>
        <v>9.8859315589353614</v>
      </c>
      <c r="AD155" s="207">
        <f t="shared" si="90"/>
        <v>5.7034220532319395</v>
      </c>
      <c r="AE155" s="207">
        <f t="shared" si="90"/>
        <v>20.532319391634982</v>
      </c>
      <c r="AF155" s="207">
        <f t="shared" si="90"/>
        <v>8.3650190114068437</v>
      </c>
      <c r="AG155" s="207">
        <f t="shared" si="90"/>
        <v>7.2243346007604554</v>
      </c>
      <c r="AH155" s="207">
        <f t="shared" si="90"/>
        <v>4.9429657794676807</v>
      </c>
      <c r="AI155" s="207">
        <f t="shared" si="90"/>
        <v>1.9011406844106464</v>
      </c>
      <c r="AJ155" s="207">
        <f t="shared" si="90"/>
        <v>1.9011406844106464</v>
      </c>
      <c r="AK155" s="207">
        <f t="shared" si="90"/>
        <v>21.292775665399237</v>
      </c>
      <c r="AL155" s="207">
        <f t="shared" si="90"/>
        <v>10.646387832699618</v>
      </c>
      <c r="AM155" s="208"/>
      <c r="AN155" s="195"/>
    </row>
    <row r="156" spans="1:43" x14ac:dyDescent="0.2">
      <c r="A156" s="269" t="str">
        <f>'問10-1M（表）'!A156</f>
        <v>その他(n = 18 )　　</v>
      </c>
      <c r="B156" s="34">
        <f>'問9S（表）'!B86</f>
        <v>18</v>
      </c>
      <c r="C156" s="31">
        <v>2</v>
      </c>
      <c r="D156" s="32">
        <v>2</v>
      </c>
      <c r="E156" s="32">
        <v>1</v>
      </c>
      <c r="F156" s="32">
        <v>1</v>
      </c>
      <c r="G156" s="32">
        <v>3</v>
      </c>
      <c r="H156" s="32">
        <v>1</v>
      </c>
      <c r="I156" s="32">
        <v>1</v>
      </c>
      <c r="J156" s="32">
        <v>2</v>
      </c>
      <c r="K156" s="32">
        <v>0</v>
      </c>
      <c r="L156" s="32">
        <v>0</v>
      </c>
      <c r="M156" s="32">
        <v>1</v>
      </c>
      <c r="N156" s="32">
        <v>1</v>
      </c>
      <c r="O156" s="32">
        <v>3</v>
      </c>
      <c r="P156" s="32">
        <v>5</v>
      </c>
      <c r="Q156" s="32">
        <v>3</v>
      </c>
      <c r="R156" s="32">
        <v>1</v>
      </c>
      <c r="S156" s="32">
        <v>2</v>
      </c>
      <c r="T156" s="32">
        <v>0</v>
      </c>
      <c r="U156" s="32">
        <v>0</v>
      </c>
      <c r="V156" s="32">
        <v>3</v>
      </c>
      <c r="W156" s="32">
        <v>2</v>
      </c>
      <c r="X156" s="32">
        <v>1</v>
      </c>
      <c r="Y156" s="32">
        <v>4</v>
      </c>
      <c r="Z156" s="32">
        <v>1</v>
      </c>
      <c r="AA156" s="32">
        <v>0</v>
      </c>
      <c r="AB156" s="32">
        <v>3</v>
      </c>
      <c r="AC156" s="32">
        <v>3</v>
      </c>
      <c r="AD156" s="32">
        <v>1</v>
      </c>
      <c r="AE156" s="32">
        <v>2</v>
      </c>
      <c r="AF156" s="32">
        <v>2</v>
      </c>
      <c r="AG156" s="32">
        <v>1</v>
      </c>
      <c r="AH156" s="32">
        <v>0</v>
      </c>
      <c r="AI156" s="32">
        <v>1</v>
      </c>
      <c r="AJ156" s="32">
        <v>1</v>
      </c>
      <c r="AK156" s="32">
        <v>2</v>
      </c>
      <c r="AL156" s="32">
        <v>3</v>
      </c>
      <c r="AM156" s="33"/>
      <c r="AN156" s="5">
        <f>SUM(C156:AM156)</f>
        <v>59</v>
      </c>
      <c r="AO156" t="str">
        <f>" その他（ n = "&amp;B156&amp;"）"</f>
        <v xml:space="preserve"> その他（ n = 18）</v>
      </c>
      <c r="AQ156">
        <v>9</v>
      </c>
    </row>
    <row r="157" spans="1:43" x14ac:dyDescent="0.2">
      <c r="A157" s="270"/>
      <c r="B157" s="35">
        <f>'問9S（表）'!B87</f>
        <v>1.1138613861386137</v>
      </c>
      <c r="C157" s="20">
        <f t="shared" ref="C157:AL157" si="91">C156/$B$156*100</f>
        <v>11.111111111111111</v>
      </c>
      <c r="D157" s="207">
        <f t="shared" si="91"/>
        <v>11.111111111111111</v>
      </c>
      <c r="E157" s="207">
        <f t="shared" si="91"/>
        <v>5.5555555555555554</v>
      </c>
      <c r="F157" s="207">
        <f t="shared" si="91"/>
        <v>5.5555555555555554</v>
      </c>
      <c r="G157" s="207">
        <f t="shared" si="91"/>
        <v>16.666666666666664</v>
      </c>
      <c r="H157" s="207">
        <f t="shared" si="91"/>
        <v>5.5555555555555554</v>
      </c>
      <c r="I157" s="207">
        <f t="shared" si="91"/>
        <v>5.5555555555555554</v>
      </c>
      <c r="J157" s="207">
        <f t="shared" si="91"/>
        <v>11.111111111111111</v>
      </c>
      <c r="K157" s="207">
        <f t="shared" si="91"/>
        <v>0</v>
      </c>
      <c r="L157" s="207">
        <f t="shared" si="91"/>
        <v>0</v>
      </c>
      <c r="M157" s="207">
        <f t="shared" si="91"/>
        <v>5.5555555555555554</v>
      </c>
      <c r="N157" s="207">
        <f t="shared" si="91"/>
        <v>5.5555555555555554</v>
      </c>
      <c r="O157" s="207">
        <f t="shared" si="91"/>
        <v>16.666666666666664</v>
      </c>
      <c r="P157" s="207">
        <f t="shared" si="91"/>
        <v>27.777777777777779</v>
      </c>
      <c r="Q157" s="207">
        <f t="shared" si="91"/>
        <v>16.666666666666664</v>
      </c>
      <c r="R157" s="207">
        <f t="shared" si="91"/>
        <v>5.5555555555555554</v>
      </c>
      <c r="S157" s="207">
        <f t="shared" si="91"/>
        <v>11.111111111111111</v>
      </c>
      <c r="T157" s="207">
        <f t="shared" si="91"/>
        <v>0</v>
      </c>
      <c r="U157" s="207">
        <f t="shared" si="91"/>
        <v>0</v>
      </c>
      <c r="V157" s="207">
        <f t="shared" si="91"/>
        <v>16.666666666666664</v>
      </c>
      <c r="W157" s="207">
        <f t="shared" si="91"/>
        <v>11.111111111111111</v>
      </c>
      <c r="X157" s="207">
        <f t="shared" si="91"/>
        <v>5.5555555555555554</v>
      </c>
      <c r="Y157" s="207">
        <f t="shared" si="91"/>
        <v>22.222222222222221</v>
      </c>
      <c r="Z157" s="207">
        <f t="shared" si="91"/>
        <v>5.5555555555555554</v>
      </c>
      <c r="AA157" s="207">
        <f t="shared" si="91"/>
        <v>0</v>
      </c>
      <c r="AB157" s="207">
        <f t="shared" si="91"/>
        <v>16.666666666666664</v>
      </c>
      <c r="AC157" s="207">
        <f t="shared" si="91"/>
        <v>16.666666666666664</v>
      </c>
      <c r="AD157" s="207">
        <f t="shared" si="91"/>
        <v>5.5555555555555554</v>
      </c>
      <c r="AE157" s="207">
        <f t="shared" si="91"/>
        <v>11.111111111111111</v>
      </c>
      <c r="AF157" s="207">
        <f t="shared" si="91"/>
        <v>11.111111111111111</v>
      </c>
      <c r="AG157" s="207">
        <f t="shared" si="91"/>
        <v>5.5555555555555554</v>
      </c>
      <c r="AH157" s="207">
        <f t="shared" si="91"/>
        <v>0</v>
      </c>
      <c r="AI157" s="207">
        <f t="shared" si="91"/>
        <v>5.5555555555555554</v>
      </c>
      <c r="AJ157" s="207">
        <f t="shared" si="91"/>
        <v>5.5555555555555554</v>
      </c>
      <c r="AK157" s="207">
        <f t="shared" si="91"/>
        <v>11.111111111111111</v>
      </c>
      <c r="AL157" s="207">
        <f t="shared" si="91"/>
        <v>16.666666666666664</v>
      </c>
      <c r="AM157" s="208"/>
      <c r="AN157" s="195"/>
      <c r="AO157" t="str">
        <f>" その他（ n = "&amp;B156+B142+B150&amp;"）"</f>
        <v xml:space="preserve"> その他（ n = 74）</v>
      </c>
    </row>
    <row r="158" spans="1:43" s="186" customFormat="1" x14ac:dyDescent="0.2">
      <c r="A158" s="184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  <c r="AA158" s="182"/>
      <c r="AB158" s="182"/>
      <c r="AC158" s="182"/>
      <c r="AD158" s="182"/>
      <c r="AE158" s="182"/>
      <c r="AF158" s="182"/>
      <c r="AG158" s="182"/>
      <c r="AH158" s="182"/>
      <c r="AI158" s="182"/>
      <c r="AJ158" s="182"/>
      <c r="AK158" s="182"/>
      <c r="AL158" s="182"/>
      <c r="AM158" s="182"/>
      <c r="AN158" s="182"/>
    </row>
    <row r="159" spans="1:43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195"/>
    </row>
    <row r="160" spans="1:43" x14ac:dyDescent="0.2">
      <c r="A160" s="6" t="s">
        <v>4</v>
      </c>
      <c r="B160" s="45"/>
      <c r="C160" s="182">
        <v>1</v>
      </c>
      <c r="D160" s="182">
        <v>2</v>
      </c>
      <c r="E160" s="182">
        <v>3</v>
      </c>
      <c r="F160" s="182">
        <v>4</v>
      </c>
      <c r="G160" s="182">
        <v>5</v>
      </c>
      <c r="H160" s="182">
        <v>6</v>
      </c>
      <c r="I160" s="182">
        <v>7</v>
      </c>
      <c r="J160" s="182">
        <v>8</v>
      </c>
      <c r="K160" s="182">
        <v>9</v>
      </c>
      <c r="L160" s="182">
        <v>10</v>
      </c>
      <c r="M160" s="182">
        <v>11</v>
      </c>
      <c r="N160" s="182">
        <v>12</v>
      </c>
      <c r="O160" s="182">
        <v>13</v>
      </c>
      <c r="P160" s="182">
        <v>14</v>
      </c>
      <c r="Q160" s="182">
        <v>15</v>
      </c>
      <c r="R160" s="182">
        <v>16</v>
      </c>
      <c r="S160" s="182">
        <v>17</v>
      </c>
      <c r="T160" s="182">
        <v>18</v>
      </c>
      <c r="U160" s="182">
        <v>19</v>
      </c>
      <c r="V160" s="182">
        <v>20</v>
      </c>
      <c r="W160" s="182">
        <v>21</v>
      </c>
      <c r="X160" s="182">
        <v>22</v>
      </c>
      <c r="Y160" s="182">
        <v>23</v>
      </c>
      <c r="Z160" s="182">
        <v>24</v>
      </c>
      <c r="AA160" s="182">
        <v>25</v>
      </c>
      <c r="AB160" s="182">
        <v>26</v>
      </c>
      <c r="AC160" s="182">
        <v>27</v>
      </c>
      <c r="AD160" s="197">
        <v>28</v>
      </c>
      <c r="AE160" s="182">
        <v>29</v>
      </c>
      <c r="AF160" s="182">
        <v>30</v>
      </c>
      <c r="AG160" s="182">
        <v>31</v>
      </c>
      <c r="AH160" s="182">
        <v>32</v>
      </c>
      <c r="AI160" s="182">
        <v>33</v>
      </c>
      <c r="AJ160" s="182">
        <v>34</v>
      </c>
      <c r="AK160" s="197">
        <v>35</v>
      </c>
      <c r="AL160" s="197">
        <v>36</v>
      </c>
      <c r="AM160" s="197">
        <v>37</v>
      </c>
    </row>
    <row r="161" spans="1:40" ht="43.2" x14ac:dyDescent="0.2">
      <c r="A161" s="13" t="s">
        <v>29</v>
      </c>
      <c r="B161" s="59" t="s">
        <v>157</v>
      </c>
      <c r="C161" s="60" t="s">
        <v>340</v>
      </c>
      <c r="D161" s="61" t="s">
        <v>351</v>
      </c>
      <c r="E161" s="61" t="s">
        <v>342</v>
      </c>
      <c r="F161" s="61" t="s">
        <v>365</v>
      </c>
      <c r="G161" s="61" t="s">
        <v>367</v>
      </c>
      <c r="H161" s="61" t="s">
        <v>366</v>
      </c>
      <c r="I161" s="61" t="s">
        <v>369</v>
      </c>
      <c r="J161" s="61" t="s">
        <v>335</v>
      </c>
      <c r="K161" s="61" t="s">
        <v>346</v>
      </c>
      <c r="L161" s="61" t="s">
        <v>337</v>
      </c>
      <c r="M161" s="61" t="s">
        <v>360</v>
      </c>
      <c r="N161" s="61" t="s">
        <v>368</v>
      </c>
      <c r="O161" s="61" t="s">
        <v>339</v>
      </c>
      <c r="P161" s="61" t="s">
        <v>344</v>
      </c>
      <c r="Q161" s="61" t="s">
        <v>343</v>
      </c>
      <c r="R161" s="61" t="s">
        <v>357</v>
      </c>
      <c r="S161" s="61" t="s">
        <v>361</v>
      </c>
      <c r="T161" s="61" t="s">
        <v>348</v>
      </c>
      <c r="U161" s="61" t="s">
        <v>358</v>
      </c>
      <c r="V161" s="61" t="s">
        <v>334</v>
      </c>
      <c r="W161" s="61" t="s">
        <v>364</v>
      </c>
      <c r="X161" s="61" t="s">
        <v>354</v>
      </c>
      <c r="Y161" s="61" t="s">
        <v>363</v>
      </c>
      <c r="Z161" s="61" t="s">
        <v>356</v>
      </c>
      <c r="AA161" s="61" t="s">
        <v>345</v>
      </c>
      <c r="AB161" s="61" t="s">
        <v>362</v>
      </c>
      <c r="AC161" s="61" t="s">
        <v>341</v>
      </c>
      <c r="AD161" s="61" t="s">
        <v>350</v>
      </c>
      <c r="AE161" s="61" t="s">
        <v>349</v>
      </c>
      <c r="AF161" s="61" t="s">
        <v>352</v>
      </c>
      <c r="AG161" s="61" t="s">
        <v>359</v>
      </c>
      <c r="AH161" s="61" t="s">
        <v>336</v>
      </c>
      <c r="AI161" s="61" t="s">
        <v>413</v>
      </c>
      <c r="AJ161" s="61" t="s">
        <v>347</v>
      </c>
      <c r="AK161" s="61" t="s">
        <v>338</v>
      </c>
      <c r="AL161" s="61" t="s">
        <v>353</v>
      </c>
      <c r="AM161" s="63" t="s">
        <v>0</v>
      </c>
      <c r="AN161" s="5" t="s">
        <v>118</v>
      </c>
    </row>
    <row r="162" spans="1:40" ht="13.5" customHeight="1" x14ac:dyDescent="0.2">
      <c r="A162" s="269" t="str">
        <f>A138</f>
        <v>全体(n = 1,616 )　　</v>
      </c>
      <c r="B162" s="113">
        <f>B138</f>
        <v>1616</v>
      </c>
      <c r="C162" s="121">
        <v>340</v>
      </c>
      <c r="D162" s="122">
        <v>301</v>
      </c>
      <c r="E162" s="122">
        <v>291</v>
      </c>
      <c r="F162" s="122">
        <v>252</v>
      </c>
      <c r="G162" s="122">
        <v>223</v>
      </c>
      <c r="H162" s="122">
        <v>214</v>
      </c>
      <c r="I162" s="122">
        <v>191</v>
      </c>
      <c r="J162" s="122">
        <v>179</v>
      </c>
      <c r="K162" s="122">
        <v>179</v>
      </c>
      <c r="L162" s="122">
        <v>178</v>
      </c>
      <c r="M162" s="122">
        <v>176</v>
      </c>
      <c r="N162" s="122">
        <v>174</v>
      </c>
      <c r="O162" s="122">
        <v>159</v>
      </c>
      <c r="P162" s="122">
        <v>154</v>
      </c>
      <c r="Q162" s="122">
        <v>152</v>
      </c>
      <c r="R162" s="122">
        <v>141</v>
      </c>
      <c r="S162" s="122">
        <v>140</v>
      </c>
      <c r="T162" s="122">
        <v>139</v>
      </c>
      <c r="U162" s="122">
        <v>135</v>
      </c>
      <c r="V162" s="122">
        <v>115</v>
      </c>
      <c r="W162" s="122">
        <v>113</v>
      </c>
      <c r="X162" s="122">
        <v>110</v>
      </c>
      <c r="Y162" s="122">
        <v>109</v>
      </c>
      <c r="Z162" s="122">
        <v>108</v>
      </c>
      <c r="AA162" s="122">
        <v>105</v>
      </c>
      <c r="AB162" s="122">
        <v>83</v>
      </c>
      <c r="AC162" s="122">
        <v>72</v>
      </c>
      <c r="AD162" s="122">
        <v>72</v>
      </c>
      <c r="AE162" s="122">
        <v>66</v>
      </c>
      <c r="AF162" s="122">
        <v>57</v>
      </c>
      <c r="AG162" s="122">
        <v>55</v>
      </c>
      <c r="AH162" s="122">
        <v>53</v>
      </c>
      <c r="AI162" s="122">
        <v>53</v>
      </c>
      <c r="AJ162" s="122">
        <v>46</v>
      </c>
      <c r="AK162" s="122">
        <v>42</v>
      </c>
      <c r="AL162" s="122">
        <v>40</v>
      </c>
      <c r="AM162" s="124"/>
      <c r="AN162" s="5">
        <f>SUM(C162:AM162)</f>
        <v>5017</v>
      </c>
    </row>
    <row r="163" spans="1:40" x14ac:dyDescent="0.2">
      <c r="A163" s="270"/>
      <c r="B163" s="114">
        <f t="shared" ref="B163:B181" si="92">B139</f>
        <v>100</v>
      </c>
      <c r="C163" s="125">
        <v>21.03960396039604</v>
      </c>
      <c r="D163" s="126">
        <v>18.626237623762375</v>
      </c>
      <c r="E163" s="126">
        <v>18.007425742574256</v>
      </c>
      <c r="F163" s="126">
        <v>15.594059405940595</v>
      </c>
      <c r="G163" s="126">
        <v>13.79950495049505</v>
      </c>
      <c r="H163" s="126">
        <v>13.242574257425744</v>
      </c>
      <c r="I163" s="126">
        <v>11.819306930693068</v>
      </c>
      <c r="J163" s="126">
        <v>11.076732673267326</v>
      </c>
      <c r="K163" s="126">
        <v>11.076732673267326</v>
      </c>
      <c r="L163" s="126">
        <v>11.014851485148515</v>
      </c>
      <c r="M163" s="126">
        <v>10.891089108910892</v>
      </c>
      <c r="N163" s="126">
        <v>10.767326732673267</v>
      </c>
      <c r="O163" s="126">
        <v>9.8391089108910901</v>
      </c>
      <c r="P163" s="126">
        <v>9.5297029702970306</v>
      </c>
      <c r="Q163" s="126">
        <v>9.4059405940594054</v>
      </c>
      <c r="R163" s="126">
        <v>8.7252475247524739</v>
      </c>
      <c r="S163" s="126">
        <v>8.6633663366336631</v>
      </c>
      <c r="T163" s="126">
        <v>8.6014851485148505</v>
      </c>
      <c r="U163" s="126">
        <v>8.3539603960396036</v>
      </c>
      <c r="V163" s="126">
        <v>7.1163366336633658</v>
      </c>
      <c r="W163" s="126">
        <v>6.9925742574257432</v>
      </c>
      <c r="X163" s="126">
        <v>6.8069306930693072</v>
      </c>
      <c r="Y163" s="126">
        <v>6.7450495049504955</v>
      </c>
      <c r="Z163" s="126">
        <v>6.6831683168316838</v>
      </c>
      <c r="AA163" s="126">
        <v>6.4975247524752477</v>
      </c>
      <c r="AB163" s="126">
        <v>5.1361386138613856</v>
      </c>
      <c r="AC163" s="126">
        <v>4.455445544554455</v>
      </c>
      <c r="AD163" s="126">
        <v>4.455445544554455</v>
      </c>
      <c r="AE163" s="126">
        <v>4.0841584158415847</v>
      </c>
      <c r="AF163" s="126">
        <v>3.527227722772277</v>
      </c>
      <c r="AG163" s="126">
        <v>3.4034653465346536</v>
      </c>
      <c r="AH163" s="126">
        <v>3.2797029702970297</v>
      </c>
      <c r="AI163" s="126">
        <v>3.2797029702970297</v>
      </c>
      <c r="AJ163" s="126">
        <v>2.8465346534653468</v>
      </c>
      <c r="AK163" s="126">
        <v>2.5990099009900991</v>
      </c>
      <c r="AL163" s="126">
        <v>2.4752475247524752</v>
      </c>
      <c r="AM163" s="128"/>
      <c r="AN163" s="195"/>
    </row>
    <row r="164" spans="1:40" ht="13.5" customHeight="1" x14ac:dyDescent="0.2">
      <c r="A164" s="269" t="str">
        <f>A140</f>
        <v>自営業(n = 175 )　　</v>
      </c>
      <c r="B164" s="113">
        <f t="shared" si="92"/>
        <v>175</v>
      </c>
      <c r="C164" s="129">
        <v>33</v>
      </c>
      <c r="D164" s="130">
        <v>30</v>
      </c>
      <c r="E164" s="130">
        <v>25</v>
      </c>
      <c r="F164" s="130">
        <v>23</v>
      </c>
      <c r="G164" s="130">
        <v>24</v>
      </c>
      <c r="H164" s="130">
        <v>24</v>
      </c>
      <c r="I164" s="130">
        <v>17</v>
      </c>
      <c r="J164" s="130">
        <v>7</v>
      </c>
      <c r="K164" s="130">
        <v>17</v>
      </c>
      <c r="L164" s="130">
        <v>14</v>
      </c>
      <c r="M164" s="130">
        <v>21</v>
      </c>
      <c r="N164" s="130">
        <v>17</v>
      </c>
      <c r="O164" s="130">
        <v>11</v>
      </c>
      <c r="P164" s="130">
        <v>13</v>
      </c>
      <c r="Q164" s="130">
        <v>15</v>
      </c>
      <c r="R164" s="130">
        <v>13</v>
      </c>
      <c r="S164" s="130">
        <v>21</v>
      </c>
      <c r="T164" s="130">
        <v>30</v>
      </c>
      <c r="U164" s="130">
        <v>20</v>
      </c>
      <c r="V164" s="130">
        <v>17</v>
      </c>
      <c r="W164" s="130">
        <v>8</v>
      </c>
      <c r="X164" s="130">
        <v>10</v>
      </c>
      <c r="Y164" s="130">
        <v>10</v>
      </c>
      <c r="Z164" s="130">
        <v>12</v>
      </c>
      <c r="AA164" s="130">
        <v>11</v>
      </c>
      <c r="AB164" s="130">
        <v>9</v>
      </c>
      <c r="AC164" s="130">
        <v>5</v>
      </c>
      <c r="AD164" s="130">
        <v>12</v>
      </c>
      <c r="AE164" s="130">
        <v>6</v>
      </c>
      <c r="AF164" s="130">
        <v>4</v>
      </c>
      <c r="AG164" s="130">
        <v>8</v>
      </c>
      <c r="AH164" s="130">
        <v>4</v>
      </c>
      <c r="AI164" s="130">
        <v>6</v>
      </c>
      <c r="AJ164" s="130">
        <v>3</v>
      </c>
      <c r="AK164" s="130">
        <v>3</v>
      </c>
      <c r="AL164" s="130">
        <v>6</v>
      </c>
      <c r="AM164" s="131"/>
      <c r="AN164" s="5">
        <f>SUM(C164:AM164)</f>
        <v>509</v>
      </c>
    </row>
    <row r="165" spans="1:40" x14ac:dyDescent="0.2">
      <c r="A165" s="270"/>
      <c r="B165" s="114">
        <f t="shared" si="92"/>
        <v>10.829207920792079</v>
      </c>
      <c r="C165" s="125">
        <v>18.857142857142858</v>
      </c>
      <c r="D165" s="126">
        <v>17.142857142857142</v>
      </c>
      <c r="E165" s="126">
        <v>14.285714285714285</v>
      </c>
      <c r="F165" s="126">
        <v>13.142857142857142</v>
      </c>
      <c r="G165" s="126">
        <v>13.714285714285715</v>
      </c>
      <c r="H165" s="126">
        <v>13.714285714285715</v>
      </c>
      <c r="I165" s="126">
        <v>9.7142857142857135</v>
      </c>
      <c r="J165" s="126">
        <v>4</v>
      </c>
      <c r="K165" s="126">
        <v>9.7142857142857135</v>
      </c>
      <c r="L165" s="126">
        <v>8</v>
      </c>
      <c r="M165" s="126">
        <v>12</v>
      </c>
      <c r="N165" s="126">
        <v>9.7142857142857135</v>
      </c>
      <c r="O165" s="126">
        <v>6.2857142857142865</v>
      </c>
      <c r="P165" s="126">
        <v>7.4285714285714288</v>
      </c>
      <c r="Q165" s="126">
        <v>8.5714285714285712</v>
      </c>
      <c r="R165" s="126">
        <v>7.4285714285714288</v>
      </c>
      <c r="S165" s="126">
        <v>12</v>
      </c>
      <c r="T165" s="126">
        <v>17.142857142857142</v>
      </c>
      <c r="U165" s="126">
        <v>11.428571428571429</v>
      </c>
      <c r="V165" s="126">
        <v>9.7142857142857135</v>
      </c>
      <c r="W165" s="126">
        <v>4.5714285714285712</v>
      </c>
      <c r="X165" s="126">
        <v>5.7142857142857144</v>
      </c>
      <c r="Y165" s="126">
        <v>5.7142857142857144</v>
      </c>
      <c r="Z165" s="126">
        <v>6.8571428571428577</v>
      </c>
      <c r="AA165" s="126">
        <v>6.2857142857142865</v>
      </c>
      <c r="AB165" s="126">
        <v>5.1428571428571423</v>
      </c>
      <c r="AC165" s="126">
        <v>2.8571428571428572</v>
      </c>
      <c r="AD165" s="126">
        <v>6.8571428571428577</v>
      </c>
      <c r="AE165" s="126">
        <v>3.4285714285714288</v>
      </c>
      <c r="AF165" s="126">
        <v>2.2857142857142856</v>
      </c>
      <c r="AG165" s="126">
        <v>4.5714285714285712</v>
      </c>
      <c r="AH165" s="126">
        <v>2.2857142857142856</v>
      </c>
      <c r="AI165" s="126">
        <v>3.4285714285714288</v>
      </c>
      <c r="AJ165" s="126">
        <v>1.7142857142857144</v>
      </c>
      <c r="AK165" s="126">
        <v>1.7142857142857144</v>
      </c>
      <c r="AL165" s="126">
        <v>3.4285714285714288</v>
      </c>
      <c r="AM165" s="128"/>
      <c r="AN165" s="195"/>
    </row>
    <row r="166" spans="1:40" ht="13.5" customHeight="1" x14ac:dyDescent="0.2">
      <c r="A166" s="269" t="str">
        <f>A142</f>
        <v>自由業(※1)(n = 12 )　　</v>
      </c>
      <c r="B166" s="113">
        <f t="shared" si="92"/>
        <v>12</v>
      </c>
      <c r="C166" s="129">
        <v>1</v>
      </c>
      <c r="D166" s="130">
        <v>3</v>
      </c>
      <c r="E166" s="130">
        <v>0</v>
      </c>
      <c r="F166" s="130">
        <v>0</v>
      </c>
      <c r="G166" s="130">
        <v>0</v>
      </c>
      <c r="H166" s="130">
        <v>1</v>
      </c>
      <c r="I166" s="130">
        <v>2</v>
      </c>
      <c r="J166" s="130">
        <v>1</v>
      </c>
      <c r="K166" s="130">
        <v>0</v>
      </c>
      <c r="L166" s="130">
        <v>0</v>
      </c>
      <c r="M166" s="130">
        <v>3</v>
      </c>
      <c r="N166" s="130">
        <v>2</v>
      </c>
      <c r="O166" s="130">
        <v>2</v>
      </c>
      <c r="P166" s="130">
        <v>1</v>
      </c>
      <c r="Q166" s="130">
        <v>3</v>
      </c>
      <c r="R166" s="130">
        <v>1</v>
      </c>
      <c r="S166" s="130">
        <v>3</v>
      </c>
      <c r="T166" s="130">
        <v>3</v>
      </c>
      <c r="U166" s="130">
        <v>0</v>
      </c>
      <c r="V166" s="130">
        <v>1</v>
      </c>
      <c r="W166" s="130">
        <v>0</v>
      </c>
      <c r="X166" s="130">
        <v>0</v>
      </c>
      <c r="Y166" s="130">
        <v>0</v>
      </c>
      <c r="Z166" s="130">
        <v>0</v>
      </c>
      <c r="AA166" s="130">
        <v>2</v>
      </c>
      <c r="AB166" s="130">
        <v>2</v>
      </c>
      <c r="AC166" s="130">
        <v>1</v>
      </c>
      <c r="AD166" s="130">
        <v>2</v>
      </c>
      <c r="AE166" s="130">
        <v>0</v>
      </c>
      <c r="AF166" s="130">
        <v>0</v>
      </c>
      <c r="AG166" s="130">
        <v>0</v>
      </c>
      <c r="AH166" s="130">
        <v>0</v>
      </c>
      <c r="AI166" s="130">
        <v>2</v>
      </c>
      <c r="AJ166" s="130">
        <v>0</v>
      </c>
      <c r="AK166" s="130">
        <v>0</v>
      </c>
      <c r="AL166" s="130">
        <v>0</v>
      </c>
      <c r="AM166" s="131"/>
      <c r="AN166" s="5">
        <f>SUM(C166:AM166)</f>
        <v>36</v>
      </c>
    </row>
    <row r="167" spans="1:40" x14ac:dyDescent="0.2">
      <c r="A167" s="270"/>
      <c r="B167" s="114">
        <f t="shared" si="92"/>
        <v>0.74257425742574257</v>
      </c>
      <c r="C167" s="125">
        <v>8.3333333333333321</v>
      </c>
      <c r="D167" s="126">
        <v>25</v>
      </c>
      <c r="E167" s="126">
        <v>0</v>
      </c>
      <c r="F167" s="126">
        <v>0</v>
      </c>
      <c r="G167" s="126">
        <v>0</v>
      </c>
      <c r="H167" s="126">
        <v>8.3333333333333321</v>
      </c>
      <c r="I167" s="126">
        <v>16.666666666666664</v>
      </c>
      <c r="J167" s="126">
        <v>8.3333333333333321</v>
      </c>
      <c r="K167" s="126">
        <v>0</v>
      </c>
      <c r="L167" s="126">
        <v>0</v>
      </c>
      <c r="M167" s="126">
        <v>25</v>
      </c>
      <c r="N167" s="126">
        <v>16.666666666666664</v>
      </c>
      <c r="O167" s="126">
        <v>16.666666666666664</v>
      </c>
      <c r="P167" s="126">
        <v>8.3333333333333321</v>
      </c>
      <c r="Q167" s="126">
        <v>25</v>
      </c>
      <c r="R167" s="126">
        <v>8.3333333333333321</v>
      </c>
      <c r="S167" s="126">
        <v>25</v>
      </c>
      <c r="T167" s="126">
        <v>25</v>
      </c>
      <c r="U167" s="126">
        <v>0</v>
      </c>
      <c r="V167" s="126">
        <v>8.3333333333333321</v>
      </c>
      <c r="W167" s="126">
        <v>0</v>
      </c>
      <c r="X167" s="126">
        <v>0</v>
      </c>
      <c r="Y167" s="126">
        <v>0</v>
      </c>
      <c r="Z167" s="126">
        <v>0</v>
      </c>
      <c r="AA167" s="126">
        <v>16.666666666666664</v>
      </c>
      <c r="AB167" s="126">
        <v>16.666666666666664</v>
      </c>
      <c r="AC167" s="126">
        <v>8.3333333333333321</v>
      </c>
      <c r="AD167" s="126">
        <v>16.666666666666664</v>
      </c>
      <c r="AE167" s="126">
        <v>0</v>
      </c>
      <c r="AF167" s="126">
        <v>0</v>
      </c>
      <c r="AG167" s="126">
        <v>0</v>
      </c>
      <c r="AH167" s="126">
        <v>0</v>
      </c>
      <c r="AI167" s="126">
        <v>16.666666666666664</v>
      </c>
      <c r="AJ167" s="126">
        <v>0</v>
      </c>
      <c r="AK167" s="126">
        <v>0</v>
      </c>
      <c r="AL167" s="126">
        <v>0</v>
      </c>
      <c r="AM167" s="128"/>
      <c r="AN167" s="195"/>
    </row>
    <row r="168" spans="1:40" ht="13.5" customHeight="1" x14ac:dyDescent="0.2">
      <c r="A168" s="269" t="str">
        <f>A144</f>
        <v>会社・団体役員(n = 171 )　　</v>
      </c>
      <c r="B168" s="113">
        <f t="shared" si="92"/>
        <v>171</v>
      </c>
      <c r="C168" s="129">
        <v>41</v>
      </c>
      <c r="D168" s="130">
        <v>34</v>
      </c>
      <c r="E168" s="130">
        <v>37</v>
      </c>
      <c r="F168" s="130">
        <v>37</v>
      </c>
      <c r="G168" s="130">
        <v>13</v>
      </c>
      <c r="H168" s="130">
        <v>24</v>
      </c>
      <c r="I168" s="130">
        <v>20</v>
      </c>
      <c r="J168" s="130">
        <v>21</v>
      </c>
      <c r="K168" s="130">
        <v>26</v>
      </c>
      <c r="L168" s="130">
        <v>17</v>
      </c>
      <c r="M168" s="130">
        <v>23</v>
      </c>
      <c r="N168" s="130">
        <v>14</v>
      </c>
      <c r="O168" s="130">
        <v>19</v>
      </c>
      <c r="P168" s="130">
        <v>23</v>
      </c>
      <c r="Q168" s="130">
        <v>7</v>
      </c>
      <c r="R168" s="130">
        <v>14</v>
      </c>
      <c r="S168" s="130">
        <v>18</v>
      </c>
      <c r="T168" s="130">
        <v>21</v>
      </c>
      <c r="U168" s="130">
        <v>11</v>
      </c>
      <c r="V168" s="130">
        <v>10</v>
      </c>
      <c r="W168" s="130">
        <v>13</v>
      </c>
      <c r="X168" s="130">
        <v>10</v>
      </c>
      <c r="Y168" s="130">
        <v>13</v>
      </c>
      <c r="Z168" s="130">
        <v>11</v>
      </c>
      <c r="AA168" s="130">
        <v>19</v>
      </c>
      <c r="AB168" s="130">
        <v>6</v>
      </c>
      <c r="AC168" s="130">
        <v>12</v>
      </c>
      <c r="AD168" s="130">
        <v>8</v>
      </c>
      <c r="AE168" s="130">
        <v>6</v>
      </c>
      <c r="AF168" s="130">
        <v>1</v>
      </c>
      <c r="AG168" s="130">
        <v>7</v>
      </c>
      <c r="AH168" s="130">
        <v>6</v>
      </c>
      <c r="AI168" s="130">
        <v>6</v>
      </c>
      <c r="AJ168" s="130">
        <v>6</v>
      </c>
      <c r="AK168" s="130">
        <v>4</v>
      </c>
      <c r="AL168" s="130">
        <v>5</v>
      </c>
      <c r="AM168" s="131"/>
      <c r="AN168" s="5">
        <f>SUM(C168:AM168)</f>
        <v>563</v>
      </c>
    </row>
    <row r="169" spans="1:40" x14ac:dyDescent="0.2">
      <c r="A169" s="270"/>
      <c r="B169" s="114">
        <f t="shared" si="92"/>
        <v>10.581683168316831</v>
      </c>
      <c r="C169" s="125">
        <v>23.976608187134502</v>
      </c>
      <c r="D169" s="126">
        <v>19.883040935672515</v>
      </c>
      <c r="E169" s="126">
        <v>21.637426900584796</v>
      </c>
      <c r="F169" s="126">
        <v>21.637426900584796</v>
      </c>
      <c r="G169" s="126">
        <v>7.6023391812865491</v>
      </c>
      <c r="H169" s="126">
        <v>14.035087719298245</v>
      </c>
      <c r="I169" s="126">
        <v>11.695906432748536</v>
      </c>
      <c r="J169" s="126">
        <v>12.280701754385964</v>
      </c>
      <c r="K169" s="126">
        <v>15.204678362573098</v>
      </c>
      <c r="L169" s="126">
        <v>9.9415204678362574</v>
      </c>
      <c r="M169" s="126">
        <v>13.450292397660817</v>
      </c>
      <c r="N169" s="126">
        <v>8.1871345029239766</v>
      </c>
      <c r="O169" s="126">
        <v>11.111111111111111</v>
      </c>
      <c r="P169" s="126">
        <v>13.450292397660817</v>
      </c>
      <c r="Q169" s="126">
        <v>4.0935672514619883</v>
      </c>
      <c r="R169" s="126">
        <v>8.1871345029239766</v>
      </c>
      <c r="S169" s="126">
        <v>10.526315789473683</v>
      </c>
      <c r="T169" s="126">
        <v>12.280701754385964</v>
      </c>
      <c r="U169" s="126">
        <v>6.4327485380116958</v>
      </c>
      <c r="V169" s="126">
        <v>5.8479532163742682</v>
      </c>
      <c r="W169" s="126">
        <v>7.6023391812865491</v>
      </c>
      <c r="X169" s="126">
        <v>5.8479532163742682</v>
      </c>
      <c r="Y169" s="126">
        <v>7.6023391812865491</v>
      </c>
      <c r="Z169" s="126">
        <v>6.4327485380116958</v>
      </c>
      <c r="AA169" s="126">
        <v>11.111111111111111</v>
      </c>
      <c r="AB169" s="126">
        <v>3.5087719298245612</v>
      </c>
      <c r="AC169" s="126">
        <v>7.0175438596491224</v>
      </c>
      <c r="AD169" s="126">
        <v>4.6783625730994149</v>
      </c>
      <c r="AE169" s="126">
        <v>3.5087719298245612</v>
      </c>
      <c r="AF169" s="126">
        <v>0.58479532163742687</v>
      </c>
      <c r="AG169" s="126">
        <v>4.0935672514619883</v>
      </c>
      <c r="AH169" s="126">
        <v>3.5087719298245612</v>
      </c>
      <c r="AI169" s="126">
        <v>3.5087719298245612</v>
      </c>
      <c r="AJ169" s="126">
        <v>3.5087719298245612</v>
      </c>
      <c r="AK169" s="126">
        <v>2.3391812865497075</v>
      </c>
      <c r="AL169" s="126">
        <v>2.9239766081871341</v>
      </c>
      <c r="AM169" s="128"/>
      <c r="AN169" s="195"/>
    </row>
    <row r="170" spans="1:40" ht="13.5" customHeight="1" x14ac:dyDescent="0.2">
      <c r="A170" s="271" t="str">
        <f>A146</f>
        <v>正規の従業員・職員(n = 423 )　　</v>
      </c>
      <c r="B170" s="113">
        <f t="shared" si="92"/>
        <v>423</v>
      </c>
      <c r="C170" s="129">
        <v>95</v>
      </c>
      <c r="D170" s="130">
        <v>79</v>
      </c>
      <c r="E170" s="130">
        <v>95</v>
      </c>
      <c r="F170" s="130">
        <v>88</v>
      </c>
      <c r="G170" s="130">
        <v>55</v>
      </c>
      <c r="H170" s="130">
        <v>55</v>
      </c>
      <c r="I170" s="130">
        <v>50</v>
      </c>
      <c r="J170" s="130">
        <v>59</v>
      </c>
      <c r="K170" s="130">
        <v>46</v>
      </c>
      <c r="L170" s="130">
        <v>48</v>
      </c>
      <c r="M170" s="130">
        <v>56</v>
      </c>
      <c r="N170" s="130">
        <v>48</v>
      </c>
      <c r="O170" s="130">
        <v>41</v>
      </c>
      <c r="P170" s="130">
        <v>48</v>
      </c>
      <c r="Q170" s="130">
        <v>31</v>
      </c>
      <c r="R170" s="130">
        <v>39</v>
      </c>
      <c r="S170" s="130">
        <v>30</v>
      </c>
      <c r="T170" s="130">
        <v>32</v>
      </c>
      <c r="U170" s="130">
        <v>30</v>
      </c>
      <c r="V170" s="130">
        <v>31</v>
      </c>
      <c r="W170" s="130">
        <v>31</v>
      </c>
      <c r="X170" s="130">
        <v>24</v>
      </c>
      <c r="Y170" s="130">
        <v>24</v>
      </c>
      <c r="Z170" s="130">
        <v>33</v>
      </c>
      <c r="AA170" s="130">
        <v>26</v>
      </c>
      <c r="AB170" s="130">
        <v>18</v>
      </c>
      <c r="AC170" s="130">
        <v>21</v>
      </c>
      <c r="AD170" s="130">
        <v>9</v>
      </c>
      <c r="AE170" s="130">
        <v>19</v>
      </c>
      <c r="AF170" s="130">
        <v>20</v>
      </c>
      <c r="AG170" s="130">
        <v>15</v>
      </c>
      <c r="AH170" s="130">
        <v>12</v>
      </c>
      <c r="AI170" s="130">
        <v>15</v>
      </c>
      <c r="AJ170" s="130">
        <v>7</v>
      </c>
      <c r="AK170" s="130">
        <v>8</v>
      </c>
      <c r="AL170" s="130">
        <v>10</v>
      </c>
      <c r="AM170" s="131"/>
      <c r="AN170" s="5">
        <f>SUM(C170:AM170)</f>
        <v>1348</v>
      </c>
    </row>
    <row r="171" spans="1:40" x14ac:dyDescent="0.2">
      <c r="A171" s="272"/>
      <c r="B171" s="114">
        <f t="shared" si="92"/>
        <v>26.175742574257427</v>
      </c>
      <c r="C171" s="125">
        <v>22.458628841607563</v>
      </c>
      <c r="D171" s="126">
        <v>18.67612293144208</v>
      </c>
      <c r="E171" s="126">
        <v>22.458628841607563</v>
      </c>
      <c r="F171" s="126">
        <v>20.803782505910164</v>
      </c>
      <c r="G171" s="126">
        <v>13.002364066193852</v>
      </c>
      <c r="H171" s="126">
        <v>13.002364066193852</v>
      </c>
      <c r="I171" s="126">
        <v>11.82033096926714</v>
      </c>
      <c r="J171" s="126">
        <v>13.947990543735225</v>
      </c>
      <c r="K171" s="126">
        <v>10.874704491725769</v>
      </c>
      <c r="L171" s="126">
        <v>11.347517730496454</v>
      </c>
      <c r="M171" s="126">
        <v>13.238770685579196</v>
      </c>
      <c r="N171" s="126">
        <v>11.347517730496454</v>
      </c>
      <c r="O171" s="126">
        <v>9.6926713947990546</v>
      </c>
      <c r="P171" s="126">
        <v>11.347517730496454</v>
      </c>
      <c r="Q171" s="126">
        <v>7.328605200945626</v>
      </c>
      <c r="R171" s="126">
        <v>9.2198581560283674</v>
      </c>
      <c r="S171" s="126">
        <v>7.0921985815602842</v>
      </c>
      <c r="T171" s="126">
        <v>7.5650118203309695</v>
      </c>
      <c r="U171" s="126">
        <v>7.0921985815602842</v>
      </c>
      <c r="V171" s="126">
        <v>7.328605200945626</v>
      </c>
      <c r="W171" s="126">
        <v>7.328605200945626</v>
      </c>
      <c r="X171" s="126">
        <v>5.6737588652482271</v>
      </c>
      <c r="Y171" s="126">
        <v>5.6737588652482271</v>
      </c>
      <c r="Z171" s="126">
        <v>7.8014184397163122</v>
      </c>
      <c r="AA171" s="126">
        <v>6.1465721040189125</v>
      </c>
      <c r="AB171" s="126">
        <v>4.2553191489361701</v>
      </c>
      <c r="AC171" s="126">
        <v>4.9645390070921991</v>
      </c>
      <c r="AD171" s="126">
        <v>2.1276595744680851</v>
      </c>
      <c r="AE171" s="126">
        <v>4.4917257683215128</v>
      </c>
      <c r="AF171" s="126">
        <v>4.7281323877068555</v>
      </c>
      <c r="AG171" s="126">
        <v>3.5460992907801421</v>
      </c>
      <c r="AH171" s="126">
        <v>2.8368794326241136</v>
      </c>
      <c r="AI171" s="126">
        <v>3.5460992907801421</v>
      </c>
      <c r="AJ171" s="126">
        <v>1.6548463356973995</v>
      </c>
      <c r="AK171" s="126">
        <v>1.8912529550827424</v>
      </c>
      <c r="AL171" s="126">
        <v>2.3640661938534278</v>
      </c>
      <c r="AM171" s="128"/>
      <c r="AN171" s="195"/>
    </row>
    <row r="172" spans="1:40" ht="13.5" customHeight="1" x14ac:dyDescent="0.2">
      <c r="A172" s="265" t="str">
        <f>A148</f>
        <v>パートタイム・アルバイト・派遣(n = 346 )　　</v>
      </c>
      <c r="B172" s="113">
        <f t="shared" si="92"/>
        <v>346</v>
      </c>
      <c r="C172" s="129">
        <v>72</v>
      </c>
      <c r="D172" s="130">
        <v>66</v>
      </c>
      <c r="E172" s="130">
        <v>57</v>
      </c>
      <c r="F172" s="130">
        <v>56</v>
      </c>
      <c r="G172" s="130">
        <v>49</v>
      </c>
      <c r="H172" s="130">
        <v>54</v>
      </c>
      <c r="I172" s="130">
        <v>49</v>
      </c>
      <c r="J172" s="130">
        <v>56</v>
      </c>
      <c r="K172" s="130">
        <v>43</v>
      </c>
      <c r="L172" s="130">
        <v>40</v>
      </c>
      <c r="M172" s="130">
        <v>34</v>
      </c>
      <c r="N172" s="130">
        <v>40</v>
      </c>
      <c r="O172" s="130">
        <v>45</v>
      </c>
      <c r="P172" s="130">
        <v>36</v>
      </c>
      <c r="Q172" s="130">
        <v>54</v>
      </c>
      <c r="R172" s="130">
        <v>30</v>
      </c>
      <c r="S172" s="130">
        <v>28</v>
      </c>
      <c r="T172" s="130">
        <v>31</v>
      </c>
      <c r="U172" s="130">
        <v>33</v>
      </c>
      <c r="V172" s="130">
        <v>26</v>
      </c>
      <c r="W172" s="130">
        <v>25</v>
      </c>
      <c r="X172" s="130">
        <v>26</v>
      </c>
      <c r="Y172" s="130">
        <v>20</v>
      </c>
      <c r="Z172" s="130">
        <v>24</v>
      </c>
      <c r="AA172" s="130">
        <v>20</v>
      </c>
      <c r="AB172" s="130">
        <v>23</v>
      </c>
      <c r="AC172" s="130">
        <v>9</v>
      </c>
      <c r="AD172" s="130">
        <v>14</v>
      </c>
      <c r="AE172" s="130">
        <v>14</v>
      </c>
      <c r="AF172" s="130">
        <v>17</v>
      </c>
      <c r="AG172" s="130">
        <v>12</v>
      </c>
      <c r="AH172" s="130">
        <v>11</v>
      </c>
      <c r="AI172" s="130">
        <v>10</v>
      </c>
      <c r="AJ172" s="130">
        <v>8</v>
      </c>
      <c r="AK172" s="130">
        <v>7</v>
      </c>
      <c r="AL172" s="130">
        <v>11</v>
      </c>
      <c r="AM172" s="131"/>
      <c r="AN172" s="5">
        <f>SUM(C172:AM172)</f>
        <v>1150</v>
      </c>
    </row>
    <row r="173" spans="1:40" x14ac:dyDescent="0.2">
      <c r="A173" s="266"/>
      <c r="B173" s="114">
        <f t="shared" si="92"/>
        <v>21.410891089108912</v>
      </c>
      <c r="C173" s="125">
        <v>20.809248554913296</v>
      </c>
      <c r="D173" s="126">
        <v>19.075144508670519</v>
      </c>
      <c r="E173" s="126">
        <v>16.473988439306357</v>
      </c>
      <c r="F173" s="126">
        <v>16.184971098265898</v>
      </c>
      <c r="G173" s="126">
        <v>14.16184971098266</v>
      </c>
      <c r="H173" s="126">
        <v>15.606936416184972</v>
      </c>
      <c r="I173" s="126">
        <v>14.16184971098266</v>
      </c>
      <c r="J173" s="126">
        <v>16.184971098265898</v>
      </c>
      <c r="K173" s="126">
        <v>12.427745664739884</v>
      </c>
      <c r="L173" s="126">
        <v>11.560693641618498</v>
      </c>
      <c r="M173" s="126">
        <v>9.8265895953757223</v>
      </c>
      <c r="N173" s="126">
        <v>11.560693641618498</v>
      </c>
      <c r="O173" s="126">
        <v>13.005780346820808</v>
      </c>
      <c r="P173" s="126">
        <v>10.404624277456648</v>
      </c>
      <c r="Q173" s="126">
        <v>15.606936416184972</v>
      </c>
      <c r="R173" s="126">
        <v>8.6705202312138727</v>
      </c>
      <c r="S173" s="126">
        <v>8.0924855491329488</v>
      </c>
      <c r="T173" s="126">
        <v>8.9595375722543356</v>
      </c>
      <c r="U173" s="126">
        <v>9.5375722543352595</v>
      </c>
      <c r="V173" s="126">
        <v>7.5144508670520231</v>
      </c>
      <c r="W173" s="126">
        <v>7.2254335260115612</v>
      </c>
      <c r="X173" s="126">
        <v>7.5144508670520231</v>
      </c>
      <c r="Y173" s="126">
        <v>5.7803468208092488</v>
      </c>
      <c r="Z173" s="126">
        <v>6.9364161849710975</v>
      </c>
      <c r="AA173" s="126">
        <v>5.7803468208092488</v>
      </c>
      <c r="AB173" s="126">
        <v>6.6473988439306355</v>
      </c>
      <c r="AC173" s="126">
        <v>2.601156069364162</v>
      </c>
      <c r="AD173" s="126">
        <v>4.0462427745664744</v>
      </c>
      <c r="AE173" s="126">
        <v>4.0462427745664744</v>
      </c>
      <c r="AF173" s="126">
        <v>4.9132947976878611</v>
      </c>
      <c r="AG173" s="126">
        <v>3.4682080924855487</v>
      </c>
      <c r="AH173" s="126">
        <v>3.1791907514450863</v>
      </c>
      <c r="AI173" s="126">
        <v>2.8901734104046244</v>
      </c>
      <c r="AJ173" s="126">
        <v>2.3121387283236992</v>
      </c>
      <c r="AK173" s="126">
        <v>2.0231213872832372</v>
      </c>
      <c r="AL173" s="126">
        <v>3.1791907514450863</v>
      </c>
      <c r="AM173" s="128"/>
      <c r="AN173" s="237"/>
    </row>
    <row r="174" spans="1:40" ht="13.5" customHeight="1" x14ac:dyDescent="0.2">
      <c r="A174" s="269" t="str">
        <f>A150</f>
        <v>学生(n = 44 )　　</v>
      </c>
      <c r="B174" s="113">
        <f t="shared" si="92"/>
        <v>44</v>
      </c>
      <c r="C174" s="129">
        <v>10</v>
      </c>
      <c r="D174" s="130">
        <v>5</v>
      </c>
      <c r="E174" s="130">
        <v>8</v>
      </c>
      <c r="F174" s="130">
        <v>5</v>
      </c>
      <c r="G174" s="130">
        <v>2</v>
      </c>
      <c r="H174" s="130">
        <v>3</v>
      </c>
      <c r="I174" s="130">
        <v>3</v>
      </c>
      <c r="J174" s="130">
        <v>9</v>
      </c>
      <c r="K174" s="130">
        <v>8</v>
      </c>
      <c r="L174" s="130">
        <v>8</v>
      </c>
      <c r="M174" s="130">
        <v>6</v>
      </c>
      <c r="N174" s="130">
        <v>1</v>
      </c>
      <c r="O174" s="130">
        <v>1</v>
      </c>
      <c r="P174" s="130">
        <v>1</v>
      </c>
      <c r="Q174" s="130">
        <v>6</v>
      </c>
      <c r="R174" s="130">
        <v>6</v>
      </c>
      <c r="S174" s="130">
        <v>1</v>
      </c>
      <c r="T174" s="130">
        <v>2</v>
      </c>
      <c r="U174" s="130">
        <v>3</v>
      </c>
      <c r="V174" s="130">
        <v>2</v>
      </c>
      <c r="W174" s="130">
        <v>1</v>
      </c>
      <c r="X174" s="130">
        <v>4</v>
      </c>
      <c r="Y174" s="130">
        <v>1</v>
      </c>
      <c r="Z174" s="130">
        <v>2</v>
      </c>
      <c r="AA174" s="130">
        <v>1</v>
      </c>
      <c r="AB174" s="130">
        <v>0</v>
      </c>
      <c r="AC174" s="130">
        <v>5</v>
      </c>
      <c r="AD174" s="130">
        <v>1</v>
      </c>
      <c r="AE174" s="130">
        <v>0</v>
      </c>
      <c r="AF174" s="130">
        <v>4</v>
      </c>
      <c r="AG174" s="130">
        <v>0</v>
      </c>
      <c r="AH174" s="130">
        <v>1</v>
      </c>
      <c r="AI174" s="130">
        <v>4</v>
      </c>
      <c r="AJ174" s="130">
        <v>6</v>
      </c>
      <c r="AK174" s="130">
        <v>2</v>
      </c>
      <c r="AL174" s="130">
        <v>0</v>
      </c>
      <c r="AM174" s="131"/>
      <c r="AN174" s="5">
        <f>SUM(C174:AM174)</f>
        <v>122</v>
      </c>
    </row>
    <row r="175" spans="1:40" x14ac:dyDescent="0.2">
      <c r="A175" s="270"/>
      <c r="B175" s="114">
        <f t="shared" si="92"/>
        <v>2.722772277227723</v>
      </c>
      <c r="C175" s="125">
        <v>22.727272727272727</v>
      </c>
      <c r="D175" s="126">
        <v>11.363636363636363</v>
      </c>
      <c r="E175" s="126">
        <v>18.181818181818183</v>
      </c>
      <c r="F175" s="126">
        <v>11.363636363636363</v>
      </c>
      <c r="G175" s="126">
        <v>4.5454545454545459</v>
      </c>
      <c r="H175" s="126">
        <v>6.8181818181818175</v>
      </c>
      <c r="I175" s="126">
        <v>6.8181818181818175</v>
      </c>
      <c r="J175" s="126">
        <v>20.454545454545457</v>
      </c>
      <c r="K175" s="126">
        <v>18.181818181818183</v>
      </c>
      <c r="L175" s="126">
        <v>18.181818181818183</v>
      </c>
      <c r="M175" s="126">
        <v>13.636363636363635</v>
      </c>
      <c r="N175" s="126">
        <v>2.2727272727272729</v>
      </c>
      <c r="O175" s="126">
        <v>2.2727272727272729</v>
      </c>
      <c r="P175" s="126">
        <v>2.2727272727272729</v>
      </c>
      <c r="Q175" s="126">
        <v>13.636363636363635</v>
      </c>
      <c r="R175" s="126">
        <v>13.636363636363635</v>
      </c>
      <c r="S175" s="126">
        <v>2.2727272727272729</v>
      </c>
      <c r="T175" s="126">
        <v>4.5454545454545459</v>
      </c>
      <c r="U175" s="126">
        <v>6.8181818181818175</v>
      </c>
      <c r="V175" s="126">
        <v>4.5454545454545459</v>
      </c>
      <c r="W175" s="126">
        <v>2.2727272727272729</v>
      </c>
      <c r="X175" s="126">
        <v>9.0909090909090917</v>
      </c>
      <c r="Y175" s="126">
        <v>2.2727272727272729</v>
      </c>
      <c r="Z175" s="126">
        <v>4.5454545454545459</v>
      </c>
      <c r="AA175" s="126">
        <v>2.2727272727272729</v>
      </c>
      <c r="AB175" s="126">
        <v>0</v>
      </c>
      <c r="AC175" s="126">
        <v>11.363636363636363</v>
      </c>
      <c r="AD175" s="126">
        <v>2.2727272727272729</v>
      </c>
      <c r="AE175" s="126">
        <v>0</v>
      </c>
      <c r="AF175" s="126">
        <v>9.0909090909090917</v>
      </c>
      <c r="AG175" s="126">
        <v>0</v>
      </c>
      <c r="AH175" s="126">
        <v>2.2727272727272729</v>
      </c>
      <c r="AI175" s="126">
        <v>9.0909090909090917</v>
      </c>
      <c r="AJ175" s="126">
        <v>13.636363636363635</v>
      </c>
      <c r="AK175" s="126">
        <v>4.5454545454545459</v>
      </c>
      <c r="AL175" s="126">
        <v>0</v>
      </c>
      <c r="AM175" s="128"/>
      <c r="AN175" s="195"/>
    </row>
    <row r="176" spans="1:40" ht="13.5" customHeight="1" x14ac:dyDescent="0.2">
      <c r="A176" s="269" t="str">
        <f>A152</f>
        <v>家事従事(n = 150 )　　</v>
      </c>
      <c r="B176" s="113">
        <f t="shared" si="92"/>
        <v>150</v>
      </c>
      <c r="C176" s="129">
        <v>28</v>
      </c>
      <c r="D176" s="130">
        <v>28</v>
      </c>
      <c r="E176" s="130">
        <v>25</v>
      </c>
      <c r="F176" s="130">
        <v>21</v>
      </c>
      <c r="G176" s="130">
        <v>26</v>
      </c>
      <c r="H176" s="130">
        <v>20</v>
      </c>
      <c r="I176" s="130">
        <v>17</v>
      </c>
      <c r="J176" s="130">
        <v>11</v>
      </c>
      <c r="K176" s="130">
        <v>8</v>
      </c>
      <c r="L176" s="130">
        <v>17</v>
      </c>
      <c r="M176" s="130">
        <v>9</v>
      </c>
      <c r="N176" s="130">
        <v>16</v>
      </c>
      <c r="O176" s="130">
        <v>11</v>
      </c>
      <c r="P176" s="130">
        <v>8</v>
      </c>
      <c r="Q176" s="130">
        <v>12</v>
      </c>
      <c r="R176" s="130">
        <v>18</v>
      </c>
      <c r="S176" s="130">
        <v>10</v>
      </c>
      <c r="T176" s="130">
        <v>4</v>
      </c>
      <c r="U176" s="130">
        <v>14</v>
      </c>
      <c r="V176" s="130">
        <v>10</v>
      </c>
      <c r="W176" s="130">
        <v>12</v>
      </c>
      <c r="X176" s="130">
        <v>10</v>
      </c>
      <c r="Y176" s="130">
        <v>10</v>
      </c>
      <c r="Z176" s="130">
        <v>7</v>
      </c>
      <c r="AA176" s="130">
        <v>8</v>
      </c>
      <c r="AB176" s="130">
        <v>9</v>
      </c>
      <c r="AC176" s="130">
        <v>4</v>
      </c>
      <c r="AD176" s="130">
        <v>12</v>
      </c>
      <c r="AE176" s="130">
        <v>4</v>
      </c>
      <c r="AF176" s="130">
        <v>5</v>
      </c>
      <c r="AG176" s="130">
        <v>5</v>
      </c>
      <c r="AH176" s="130">
        <v>5</v>
      </c>
      <c r="AI176" s="130">
        <v>4</v>
      </c>
      <c r="AJ176" s="130">
        <v>3</v>
      </c>
      <c r="AK176" s="130">
        <v>5</v>
      </c>
      <c r="AL176" s="130">
        <v>2</v>
      </c>
      <c r="AM176" s="131"/>
      <c r="AN176" s="5">
        <f>SUM(C176:AM176)</f>
        <v>418</v>
      </c>
    </row>
    <row r="177" spans="1:40" x14ac:dyDescent="0.2">
      <c r="A177" s="270"/>
      <c r="B177" s="114">
        <f t="shared" si="92"/>
        <v>9.282178217821782</v>
      </c>
      <c r="C177" s="125">
        <v>18.666666666666668</v>
      </c>
      <c r="D177" s="126">
        <v>18.666666666666668</v>
      </c>
      <c r="E177" s="126">
        <v>16.666666666666664</v>
      </c>
      <c r="F177" s="126">
        <v>14.000000000000002</v>
      </c>
      <c r="G177" s="126">
        <v>17.333333333333336</v>
      </c>
      <c r="H177" s="126">
        <v>13.333333333333334</v>
      </c>
      <c r="I177" s="126">
        <v>11.333333333333332</v>
      </c>
      <c r="J177" s="126">
        <v>7.333333333333333</v>
      </c>
      <c r="K177" s="126">
        <v>5.3333333333333339</v>
      </c>
      <c r="L177" s="126">
        <v>11.333333333333332</v>
      </c>
      <c r="M177" s="126">
        <v>6</v>
      </c>
      <c r="N177" s="126">
        <v>10.666666666666668</v>
      </c>
      <c r="O177" s="126">
        <v>7.333333333333333</v>
      </c>
      <c r="P177" s="126">
        <v>5.3333333333333339</v>
      </c>
      <c r="Q177" s="126">
        <v>8</v>
      </c>
      <c r="R177" s="126">
        <v>12</v>
      </c>
      <c r="S177" s="126">
        <v>6.666666666666667</v>
      </c>
      <c r="T177" s="126">
        <v>2.666666666666667</v>
      </c>
      <c r="U177" s="126">
        <v>9.3333333333333339</v>
      </c>
      <c r="V177" s="126">
        <v>6.666666666666667</v>
      </c>
      <c r="W177" s="126">
        <v>8</v>
      </c>
      <c r="X177" s="126">
        <v>6.666666666666667</v>
      </c>
      <c r="Y177" s="126">
        <v>6.666666666666667</v>
      </c>
      <c r="Z177" s="126">
        <v>4.666666666666667</v>
      </c>
      <c r="AA177" s="126">
        <v>5.3333333333333339</v>
      </c>
      <c r="AB177" s="126">
        <v>6</v>
      </c>
      <c r="AC177" s="126">
        <v>2.666666666666667</v>
      </c>
      <c r="AD177" s="126">
        <v>8</v>
      </c>
      <c r="AE177" s="126">
        <v>2.666666666666667</v>
      </c>
      <c r="AF177" s="126">
        <v>3.3333333333333335</v>
      </c>
      <c r="AG177" s="126">
        <v>3.3333333333333335</v>
      </c>
      <c r="AH177" s="126">
        <v>3.3333333333333335</v>
      </c>
      <c r="AI177" s="126">
        <v>2.666666666666667</v>
      </c>
      <c r="AJ177" s="126">
        <v>2</v>
      </c>
      <c r="AK177" s="126">
        <v>3.3333333333333335</v>
      </c>
      <c r="AL177" s="126">
        <v>1.3333333333333335</v>
      </c>
      <c r="AM177" s="128"/>
      <c r="AN177" s="195"/>
    </row>
    <row r="178" spans="1:40" ht="13.5" customHeight="1" x14ac:dyDescent="0.2">
      <c r="A178" s="269" t="str">
        <f>A154</f>
        <v>無職(n = 263 )　　</v>
      </c>
      <c r="B178" s="113">
        <f t="shared" si="92"/>
        <v>263</v>
      </c>
      <c r="C178" s="129">
        <v>56</v>
      </c>
      <c r="D178" s="130">
        <v>54</v>
      </c>
      <c r="E178" s="130">
        <v>38</v>
      </c>
      <c r="F178" s="130">
        <v>18</v>
      </c>
      <c r="G178" s="130">
        <v>52</v>
      </c>
      <c r="H178" s="130">
        <v>30</v>
      </c>
      <c r="I178" s="130">
        <v>31</v>
      </c>
      <c r="J178" s="130">
        <v>13</v>
      </c>
      <c r="K178" s="130">
        <v>28</v>
      </c>
      <c r="L178" s="130">
        <v>30</v>
      </c>
      <c r="M178" s="130">
        <v>23</v>
      </c>
      <c r="N178" s="130">
        <v>33</v>
      </c>
      <c r="O178" s="130">
        <v>25</v>
      </c>
      <c r="P178" s="130">
        <v>21</v>
      </c>
      <c r="Q178" s="130">
        <v>21</v>
      </c>
      <c r="R178" s="130">
        <v>19</v>
      </c>
      <c r="S178" s="130">
        <v>27</v>
      </c>
      <c r="T178" s="130">
        <v>15</v>
      </c>
      <c r="U178" s="130">
        <v>22</v>
      </c>
      <c r="V178" s="130">
        <v>16</v>
      </c>
      <c r="W178" s="130">
        <v>21</v>
      </c>
      <c r="X178" s="130">
        <v>21</v>
      </c>
      <c r="Y178" s="130">
        <v>26</v>
      </c>
      <c r="Z178" s="130">
        <v>18</v>
      </c>
      <c r="AA178" s="130">
        <v>17</v>
      </c>
      <c r="AB178" s="130">
        <v>12</v>
      </c>
      <c r="AC178" s="130">
        <v>14</v>
      </c>
      <c r="AD178" s="130">
        <v>13</v>
      </c>
      <c r="AE178" s="130">
        <v>15</v>
      </c>
      <c r="AF178" s="130">
        <v>5</v>
      </c>
      <c r="AG178" s="130">
        <v>8</v>
      </c>
      <c r="AH178" s="130">
        <v>13</v>
      </c>
      <c r="AI178" s="130">
        <v>5</v>
      </c>
      <c r="AJ178" s="130">
        <v>13</v>
      </c>
      <c r="AK178" s="130">
        <v>12</v>
      </c>
      <c r="AL178" s="130">
        <v>6</v>
      </c>
      <c r="AM178" s="131"/>
      <c r="AN178" s="5">
        <f>SUM(C178:AM178)</f>
        <v>791</v>
      </c>
    </row>
    <row r="179" spans="1:40" x14ac:dyDescent="0.2">
      <c r="A179" s="270"/>
      <c r="B179" s="114">
        <f t="shared" si="92"/>
        <v>16.274752475247524</v>
      </c>
      <c r="C179" s="125">
        <v>21.292775665399237</v>
      </c>
      <c r="D179" s="126">
        <v>20.532319391634982</v>
      </c>
      <c r="E179" s="126">
        <v>14.448669201520911</v>
      </c>
      <c r="F179" s="126">
        <v>6.8441064638783269</v>
      </c>
      <c r="G179" s="126">
        <v>19.771863117870723</v>
      </c>
      <c r="H179" s="126">
        <v>11.406844106463879</v>
      </c>
      <c r="I179" s="126">
        <v>11.787072243346007</v>
      </c>
      <c r="J179" s="126">
        <v>4.9429657794676807</v>
      </c>
      <c r="K179" s="126">
        <v>10.646387832699618</v>
      </c>
      <c r="L179" s="126">
        <v>11.406844106463879</v>
      </c>
      <c r="M179" s="126">
        <v>8.7452471482889731</v>
      </c>
      <c r="N179" s="126">
        <v>12.547528517110266</v>
      </c>
      <c r="O179" s="126">
        <v>9.5057034220532319</v>
      </c>
      <c r="P179" s="126">
        <v>7.9847908745247151</v>
      </c>
      <c r="Q179" s="126">
        <v>7.9847908745247151</v>
      </c>
      <c r="R179" s="126">
        <v>7.2243346007604554</v>
      </c>
      <c r="S179" s="126">
        <v>10.266159695817491</v>
      </c>
      <c r="T179" s="126">
        <v>5.7034220532319395</v>
      </c>
      <c r="U179" s="126">
        <v>8.3650190114068437</v>
      </c>
      <c r="V179" s="126">
        <v>6.083650190114068</v>
      </c>
      <c r="W179" s="126">
        <v>7.9847908745247151</v>
      </c>
      <c r="X179" s="126">
        <v>7.9847908745247151</v>
      </c>
      <c r="Y179" s="126">
        <v>9.8859315589353614</v>
      </c>
      <c r="Z179" s="126">
        <v>6.8441064638783269</v>
      </c>
      <c r="AA179" s="126">
        <v>6.4638783269961975</v>
      </c>
      <c r="AB179" s="126">
        <v>4.5627376425855513</v>
      </c>
      <c r="AC179" s="126">
        <v>5.3231939163498092</v>
      </c>
      <c r="AD179" s="126">
        <v>4.9429657794676807</v>
      </c>
      <c r="AE179" s="126">
        <v>5.7034220532319395</v>
      </c>
      <c r="AF179" s="126">
        <v>1.9011406844106464</v>
      </c>
      <c r="AG179" s="126">
        <v>3.041825095057034</v>
      </c>
      <c r="AH179" s="126">
        <v>4.9429657794676807</v>
      </c>
      <c r="AI179" s="126">
        <v>1.9011406844106464</v>
      </c>
      <c r="AJ179" s="126">
        <v>4.9429657794676807</v>
      </c>
      <c r="AK179" s="126">
        <v>4.5627376425855513</v>
      </c>
      <c r="AL179" s="126">
        <v>2.2813688212927756</v>
      </c>
      <c r="AM179" s="128"/>
      <c r="AN179" s="195"/>
    </row>
    <row r="180" spans="1:40" x14ac:dyDescent="0.2">
      <c r="A180" s="269" t="str">
        <f>A156</f>
        <v>その他(n = 18 )　　</v>
      </c>
      <c r="B180" s="113">
        <f t="shared" si="92"/>
        <v>18</v>
      </c>
      <c r="C180" s="129">
        <v>2</v>
      </c>
      <c r="D180" s="130">
        <v>2</v>
      </c>
      <c r="E180" s="130">
        <v>5</v>
      </c>
      <c r="F180" s="130">
        <v>3</v>
      </c>
      <c r="G180" s="130">
        <v>1</v>
      </c>
      <c r="H180" s="130">
        <v>2</v>
      </c>
      <c r="I180" s="130">
        <v>2</v>
      </c>
      <c r="J180" s="130">
        <v>2</v>
      </c>
      <c r="K180" s="130">
        <v>3</v>
      </c>
      <c r="L180" s="130">
        <v>4</v>
      </c>
      <c r="M180" s="130">
        <v>0</v>
      </c>
      <c r="N180" s="130">
        <v>3</v>
      </c>
      <c r="O180" s="130">
        <v>3</v>
      </c>
      <c r="P180" s="130">
        <v>2</v>
      </c>
      <c r="Q180" s="130">
        <v>3</v>
      </c>
      <c r="R180" s="130">
        <v>1</v>
      </c>
      <c r="S180" s="130">
        <v>1</v>
      </c>
      <c r="T180" s="130">
        <v>1</v>
      </c>
      <c r="U180" s="130">
        <v>2</v>
      </c>
      <c r="V180" s="130">
        <v>1</v>
      </c>
      <c r="W180" s="130">
        <v>1</v>
      </c>
      <c r="X180" s="130">
        <v>3</v>
      </c>
      <c r="Y180" s="130">
        <v>3</v>
      </c>
      <c r="Z180" s="130">
        <v>1</v>
      </c>
      <c r="AA180" s="130">
        <v>1</v>
      </c>
      <c r="AB180" s="130">
        <v>2</v>
      </c>
      <c r="AC180" s="130">
        <v>0</v>
      </c>
      <c r="AD180" s="130">
        <v>1</v>
      </c>
      <c r="AE180" s="130">
        <v>1</v>
      </c>
      <c r="AF180" s="130">
        <v>1</v>
      </c>
      <c r="AG180" s="130">
        <v>0</v>
      </c>
      <c r="AH180" s="130">
        <v>0</v>
      </c>
      <c r="AI180" s="130">
        <v>1</v>
      </c>
      <c r="AJ180" s="130">
        <v>0</v>
      </c>
      <c r="AK180" s="130">
        <v>1</v>
      </c>
      <c r="AL180" s="130">
        <v>0</v>
      </c>
      <c r="AM180" s="131"/>
      <c r="AN180" s="5">
        <f>SUM(C180:AM180)</f>
        <v>59</v>
      </c>
    </row>
    <row r="181" spans="1:40" x14ac:dyDescent="0.2">
      <c r="A181" s="270"/>
      <c r="B181" s="114">
        <f t="shared" si="92"/>
        <v>1.1138613861386137</v>
      </c>
      <c r="C181" s="125">
        <v>11.111111111111111</v>
      </c>
      <c r="D181" s="126">
        <v>11.111111111111111</v>
      </c>
      <c r="E181" s="126">
        <v>27.777777777777779</v>
      </c>
      <c r="F181" s="126">
        <v>16.666666666666664</v>
      </c>
      <c r="G181" s="126">
        <v>5.5555555555555554</v>
      </c>
      <c r="H181" s="126">
        <v>11.111111111111111</v>
      </c>
      <c r="I181" s="126">
        <v>11.111111111111111</v>
      </c>
      <c r="J181" s="126">
        <v>11.111111111111111</v>
      </c>
      <c r="K181" s="126">
        <v>16.666666666666664</v>
      </c>
      <c r="L181" s="126">
        <v>22.222222222222221</v>
      </c>
      <c r="M181" s="126">
        <v>0</v>
      </c>
      <c r="N181" s="126">
        <v>16.666666666666664</v>
      </c>
      <c r="O181" s="126">
        <v>16.666666666666664</v>
      </c>
      <c r="P181" s="126">
        <v>11.111111111111111</v>
      </c>
      <c r="Q181" s="126">
        <v>16.666666666666664</v>
      </c>
      <c r="R181" s="126">
        <v>5.5555555555555554</v>
      </c>
      <c r="S181" s="126">
        <v>5.5555555555555554</v>
      </c>
      <c r="T181" s="126">
        <v>5.5555555555555554</v>
      </c>
      <c r="U181" s="126">
        <v>11.111111111111111</v>
      </c>
      <c r="V181" s="126">
        <v>5.5555555555555554</v>
      </c>
      <c r="W181" s="126">
        <v>5.5555555555555554</v>
      </c>
      <c r="X181" s="126">
        <v>16.666666666666664</v>
      </c>
      <c r="Y181" s="126">
        <v>16.666666666666664</v>
      </c>
      <c r="Z181" s="126">
        <v>5.5555555555555554</v>
      </c>
      <c r="AA181" s="126">
        <v>5.5555555555555554</v>
      </c>
      <c r="AB181" s="126">
        <v>11.111111111111111</v>
      </c>
      <c r="AC181" s="126">
        <v>0</v>
      </c>
      <c r="AD181" s="126">
        <v>5.5555555555555554</v>
      </c>
      <c r="AE181" s="126">
        <v>5.5555555555555554</v>
      </c>
      <c r="AF181" s="126">
        <v>5.5555555555555554</v>
      </c>
      <c r="AG181" s="126">
        <v>0</v>
      </c>
      <c r="AH181" s="126">
        <v>0</v>
      </c>
      <c r="AI181" s="126">
        <v>5.5555555555555554</v>
      </c>
      <c r="AJ181" s="126">
        <v>0</v>
      </c>
      <c r="AK181" s="126">
        <v>5.5555555555555554</v>
      </c>
      <c r="AL181" s="126">
        <v>0</v>
      </c>
      <c r="AM181" s="128"/>
      <c r="AN181" s="195"/>
    </row>
    <row r="182" spans="1:40" s="186" customFormat="1" x14ac:dyDescent="0.2">
      <c r="A182" s="184"/>
      <c r="B182" s="182"/>
      <c r="C182" s="182">
        <v>1</v>
      </c>
      <c r="D182" s="182">
        <v>2</v>
      </c>
      <c r="E182" s="182">
        <v>3</v>
      </c>
      <c r="F182" s="182">
        <v>4</v>
      </c>
      <c r="G182" s="182">
        <v>5</v>
      </c>
      <c r="H182" s="182">
        <v>6</v>
      </c>
      <c r="I182" s="182">
        <v>7</v>
      </c>
      <c r="J182" s="182">
        <v>8</v>
      </c>
      <c r="K182" s="182">
        <v>8</v>
      </c>
      <c r="L182" s="182">
        <v>10</v>
      </c>
      <c r="M182" s="182">
        <v>11</v>
      </c>
      <c r="N182" s="182">
        <v>12</v>
      </c>
      <c r="O182" s="182">
        <v>13</v>
      </c>
      <c r="P182" s="182">
        <v>14</v>
      </c>
      <c r="Q182" s="182">
        <v>15</v>
      </c>
      <c r="R182" s="182">
        <v>16</v>
      </c>
      <c r="S182" s="182">
        <v>17</v>
      </c>
      <c r="T182" s="182">
        <v>18</v>
      </c>
      <c r="U182" s="182">
        <v>19</v>
      </c>
      <c r="V182" s="182">
        <v>20</v>
      </c>
      <c r="W182" s="182">
        <v>21</v>
      </c>
      <c r="X182" s="182">
        <v>22</v>
      </c>
      <c r="Y182" s="182">
        <v>23</v>
      </c>
      <c r="Z182" s="182">
        <v>24</v>
      </c>
      <c r="AA182" s="182">
        <v>25</v>
      </c>
      <c r="AB182" s="182">
        <v>26</v>
      </c>
      <c r="AC182" s="182">
        <v>27</v>
      </c>
      <c r="AD182" s="182">
        <v>27</v>
      </c>
      <c r="AE182" s="182">
        <v>29</v>
      </c>
      <c r="AF182" s="182">
        <v>30</v>
      </c>
      <c r="AG182" s="182">
        <v>31</v>
      </c>
      <c r="AH182" s="182">
        <v>32</v>
      </c>
      <c r="AI182" s="182">
        <v>32</v>
      </c>
      <c r="AJ182" s="185">
        <v>34</v>
      </c>
      <c r="AK182" s="185">
        <v>35</v>
      </c>
      <c r="AL182" s="185">
        <v>36</v>
      </c>
      <c r="AM182" s="185">
        <v>37</v>
      </c>
      <c r="AN182" s="182">
        <f>SUM(C182:AM182)</f>
        <v>700</v>
      </c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195"/>
    </row>
    <row r="184" spans="1:40" ht="12.75" customHeight="1" x14ac:dyDescent="0.2">
      <c r="A184" s="6" t="s">
        <v>370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</row>
    <row r="185" spans="1:40" ht="22.5" customHeight="1" x14ac:dyDescent="0.2">
      <c r="A185" s="12" t="str">
        <f>A137</f>
        <v>【職業別】</v>
      </c>
      <c r="B185" s="59" t="str">
        <f>B122</f>
        <v>調査数</v>
      </c>
      <c r="C185" s="60" t="str">
        <f t="shared" ref="C185:L185" si="93">C161</f>
        <v>若者の県内定着</v>
      </c>
      <c r="D185" s="61" t="str">
        <f t="shared" si="93"/>
        <v>公共交通の充実</v>
      </c>
      <c r="E185" s="61" t="str">
        <f t="shared" si="93"/>
        <v>少子化対策</v>
      </c>
      <c r="F185" s="61" t="str">
        <f t="shared" si="93"/>
        <v>子育て支援</v>
      </c>
      <c r="G185" s="61" t="str">
        <f t="shared" si="93"/>
        <v>高齢者福祉</v>
      </c>
      <c r="H185" s="61" t="str">
        <f t="shared" si="93"/>
        <v>地域医療の確保</v>
      </c>
      <c r="I185" s="62" t="str">
        <f t="shared" si="93"/>
        <v>防災対策</v>
      </c>
      <c r="J185" s="61" t="str">
        <f t="shared" si="93"/>
        <v>労働環境改善</v>
      </c>
      <c r="K185" s="62" t="str">
        <f t="shared" si="93"/>
        <v>県外からの移住・定住の推進</v>
      </c>
      <c r="L185" s="63" t="str">
        <f t="shared" si="93"/>
        <v>女性の活躍推進</v>
      </c>
    </row>
    <row r="186" spans="1:40" ht="12.75" customHeight="1" x14ac:dyDescent="0.2">
      <c r="A186" s="269" t="str">
        <f>A138</f>
        <v>全体(n = 1,616 )　　</v>
      </c>
      <c r="B186" s="113">
        <f t="shared" ref="B186:B205" si="94">B138</f>
        <v>1616</v>
      </c>
      <c r="C186" s="121">
        <f t="shared" ref="C186:L186" si="95">C162</f>
        <v>340</v>
      </c>
      <c r="D186" s="122">
        <f t="shared" si="95"/>
        <v>301</v>
      </c>
      <c r="E186" s="122">
        <f t="shared" si="95"/>
        <v>291</v>
      </c>
      <c r="F186" s="122">
        <f t="shared" si="95"/>
        <v>252</v>
      </c>
      <c r="G186" s="122">
        <f t="shared" si="95"/>
        <v>223</v>
      </c>
      <c r="H186" s="122">
        <f t="shared" si="95"/>
        <v>214</v>
      </c>
      <c r="I186" s="123">
        <f t="shared" si="95"/>
        <v>191</v>
      </c>
      <c r="J186" s="122">
        <f t="shared" si="95"/>
        <v>179</v>
      </c>
      <c r="K186" s="123">
        <f t="shared" si="95"/>
        <v>179</v>
      </c>
      <c r="L186" s="124">
        <f t="shared" si="95"/>
        <v>178</v>
      </c>
    </row>
    <row r="187" spans="1:40" ht="12.75" customHeight="1" x14ac:dyDescent="0.2">
      <c r="A187" s="270"/>
      <c r="B187" s="114">
        <f t="shared" si="94"/>
        <v>100</v>
      </c>
      <c r="C187" s="125">
        <f t="shared" ref="C187:L187" si="96">C163</f>
        <v>21.03960396039604</v>
      </c>
      <c r="D187" s="126">
        <f t="shared" si="96"/>
        <v>18.626237623762375</v>
      </c>
      <c r="E187" s="126">
        <f t="shared" si="96"/>
        <v>18.007425742574256</v>
      </c>
      <c r="F187" s="126">
        <f t="shared" si="96"/>
        <v>15.594059405940595</v>
      </c>
      <c r="G187" s="126">
        <f t="shared" si="96"/>
        <v>13.79950495049505</v>
      </c>
      <c r="H187" s="126">
        <f t="shared" si="96"/>
        <v>13.242574257425744</v>
      </c>
      <c r="I187" s="127">
        <f t="shared" si="96"/>
        <v>11.819306930693068</v>
      </c>
      <c r="J187" s="126">
        <f t="shared" si="96"/>
        <v>11.076732673267326</v>
      </c>
      <c r="K187" s="127">
        <f t="shared" si="96"/>
        <v>11.076732673267326</v>
      </c>
      <c r="L187" s="128">
        <f t="shared" si="96"/>
        <v>11.014851485148515</v>
      </c>
    </row>
    <row r="188" spans="1:40" ht="12.75" customHeight="1" x14ac:dyDescent="0.2">
      <c r="A188" s="269" t="str">
        <f>A140</f>
        <v>自営業(n = 175 )　　</v>
      </c>
      <c r="B188" s="113">
        <f t="shared" si="94"/>
        <v>175</v>
      </c>
      <c r="C188" s="129">
        <f t="shared" ref="C188:L188" si="97">C164</f>
        <v>33</v>
      </c>
      <c r="D188" s="130">
        <f t="shared" si="97"/>
        <v>30</v>
      </c>
      <c r="E188" s="130">
        <f t="shared" si="97"/>
        <v>25</v>
      </c>
      <c r="F188" s="130">
        <f t="shared" si="97"/>
        <v>23</v>
      </c>
      <c r="G188" s="130">
        <f t="shared" si="97"/>
        <v>24</v>
      </c>
      <c r="H188" s="130">
        <f t="shared" si="97"/>
        <v>24</v>
      </c>
      <c r="I188" s="140">
        <f t="shared" si="97"/>
        <v>17</v>
      </c>
      <c r="J188" s="130">
        <f t="shared" si="97"/>
        <v>7</v>
      </c>
      <c r="K188" s="140">
        <f t="shared" si="97"/>
        <v>17</v>
      </c>
      <c r="L188" s="131">
        <f t="shared" si="97"/>
        <v>14</v>
      </c>
    </row>
    <row r="189" spans="1:40" ht="13.5" customHeight="1" x14ac:dyDescent="0.2">
      <c r="A189" s="270"/>
      <c r="B189" s="114">
        <f t="shared" si="94"/>
        <v>10.829207920792079</v>
      </c>
      <c r="C189" s="125">
        <f t="shared" ref="C189:L189" si="98">C165</f>
        <v>18.857142857142858</v>
      </c>
      <c r="D189" s="126">
        <f t="shared" si="98"/>
        <v>17.142857142857142</v>
      </c>
      <c r="E189" s="126">
        <f t="shared" si="98"/>
        <v>14.285714285714285</v>
      </c>
      <c r="F189" s="126">
        <f t="shared" si="98"/>
        <v>13.142857142857142</v>
      </c>
      <c r="G189" s="126">
        <f t="shared" si="98"/>
        <v>13.714285714285715</v>
      </c>
      <c r="H189" s="126">
        <f t="shared" si="98"/>
        <v>13.714285714285715</v>
      </c>
      <c r="I189" s="127">
        <f t="shared" si="98"/>
        <v>9.7142857142857135</v>
      </c>
      <c r="J189" s="126">
        <f t="shared" si="98"/>
        <v>4</v>
      </c>
      <c r="K189" s="127">
        <f t="shared" si="98"/>
        <v>9.7142857142857135</v>
      </c>
      <c r="L189" s="128">
        <f t="shared" si="98"/>
        <v>8</v>
      </c>
    </row>
    <row r="190" spans="1:40" ht="13.5" customHeight="1" x14ac:dyDescent="0.2">
      <c r="A190" s="269" t="str">
        <f>A142</f>
        <v>自由業(※1)(n = 12 )　　</v>
      </c>
      <c r="B190" s="113">
        <f t="shared" si="94"/>
        <v>12</v>
      </c>
      <c r="C190" s="129">
        <f t="shared" ref="C190:L190" si="99">C166</f>
        <v>1</v>
      </c>
      <c r="D190" s="130">
        <f t="shared" si="99"/>
        <v>3</v>
      </c>
      <c r="E190" s="130">
        <f t="shared" si="99"/>
        <v>0</v>
      </c>
      <c r="F190" s="130">
        <f t="shared" si="99"/>
        <v>0</v>
      </c>
      <c r="G190" s="130">
        <f t="shared" si="99"/>
        <v>0</v>
      </c>
      <c r="H190" s="130">
        <f t="shared" si="99"/>
        <v>1</v>
      </c>
      <c r="I190" s="140">
        <f t="shared" si="99"/>
        <v>2</v>
      </c>
      <c r="J190" s="130">
        <f t="shared" si="99"/>
        <v>1</v>
      </c>
      <c r="K190" s="140">
        <f t="shared" si="99"/>
        <v>0</v>
      </c>
      <c r="L190" s="131">
        <f t="shared" si="99"/>
        <v>0</v>
      </c>
    </row>
    <row r="191" spans="1:40" ht="13.5" customHeight="1" x14ac:dyDescent="0.2">
      <c r="A191" s="270"/>
      <c r="B191" s="114">
        <f t="shared" si="94"/>
        <v>0.74257425742574257</v>
      </c>
      <c r="C191" s="125">
        <f t="shared" ref="C191:L191" si="100">C167</f>
        <v>8.3333333333333321</v>
      </c>
      <c r="D191" s="126">
        <f t="shared" si="100"/>
        <v>25</v>
      </c>
      <c r="E191" s="126">
        <f t="shared" si="100"/>
        <v>0</v>
      </c>
      <c r="F191" s="126">
        <f t="shared" si="100"/>
        <v>0</v>
      </c>
      <c r="G191" s="126">
        <f t="shared" si="100"/>
        <v>0</v>
      </c>
      <c r="H191" s="126">
        <f t="shared" si="100"/>
        <v>8.3333333333333321</v>
      </c>
      <c r="I191" s="127">
        <f t="shared" si="100"/>
        <v>16.666666666666664</v>
      </c>
      <c r="J191" s="126">
        <f t="shared" si="100"/>
        <v>8.3333333333333321</v>
      </c>
      <c r="K191" s="127">
        <f t="shared" si="100"/>
        <v>0</v>
      </c>
      <c r="L191" s="128">
        <f t="shared" si="100"/>
        <v>0</v>
      </c>
    </row>
    <row r="192" spans="1:40" ht="13.5" customHeight="1" x14ac:dyDescent="0.2">
      <c r="A192" s="269" t="str">
        <f>A144</f>
        <v>会社・団体役員(n = 171 )　　</v>
      </c>
      <c r="B192" s="113">
        <f t="shared" si="94"/>
        <v>171</v>
      </c>
      <c r="C192" s="129">
        <f t="shared" ref="C192:L192" si="101">C168</f>
        <v>41</v>
      </c>
      <c r="D192" s="130">
        <f t="shared" si="101"/>
        <v>34</v>
      </c>
      <c r="E192" s="130">
        <f t="shared" si="101"/>
        <v>37</v>
      </c>
      <c r="F192" s="130">
        <f t="shared" si="101"/>
        <v>37</v>
      </c>
      <c r="G192" s="130">
        <f t="shared" si="101"/>
        <v>13</v>
      </c>
      <c r="H192" s="130">
        <f t="shared" si="101"/>
        <v>24</v>
      </c>
      <c r="I192" s="140">
        <f t="shared" si="101"/>
        <v>20</v>
      </c>
      <c r="J192" s="130">
        <f t="shared" si="101"/>
        <v>21</v>
      </c>
      <c r="K192" s="140">
        <f t="shared" si="101"/>
        <v>26</v>
      </c>
      <c r="L192" s="131">
        <f t="shared" si="101"/>
        <v>17</v>
      </c>
    </row>
    <row r="193" spans="1:35" x14ac:dyDescent="0.2">
      <c r="A193" s="270"/>
      <c r="B193" s="114">
        <f t="shared" si="94"/>
        <v>10.581683168316831</v>
      </c>
      <c r="C193" s="125">
        <f t="shared" ref="C193:L193" si="102">C169</f>
        <v>23.976608187134502</v>
      </c>
      <c r="D193" s="126">
        <f t="shared" si="102"/>
        <v>19.883040935672515</v>
      </c>
      <c r="E193" s="126">
        <f t="shared" si="102"/>
        <v>21.637426900584796</v>
      </c>
      <c r="F193" s="126">
        <f t="shared" si="102"/>
        <v>21.637426900584796</v>
      </c>
      <c r="G193" s="126">
        <f t="shared" si="102"/>
        <v>7.6023391812865491</v>
      </c>
      <c r="H193" s="126">
        <f t="shared" si="102"/>
        <v>14.035087719298245</v>
      </c>
      <c r="I193" s="127">
        <f t="shared" si="102"/>
        <v>11.695906432748536</v>
      </c>
      <c r="J193" s="126">
        <f t="shared" si="102"/>
        <v>12.280701754385964</v>
      </c>
      <c r="K193" s="127">
        <f t="shared" si="102"/>
        <v>15.204678362573098</v>
      </c>
      <c r="L193" s="128">
        <f t="shared" si="102"/>
        <v>9.9415204678362574</v>
      </c>
    </row>
    <row r="194" spans="1:35" x14ac:dyDescent="0.2">
      <c r="A194" s="269" t="str">
        <f>A146</f>
        <v>正規の従業員・職員(n = 423 )　　</v>
      </c>
      <c r="B194" s="113">
        <f t="shared" si="94"/>
        <v>423</v>
      </c>
      <c r="C194" s="129">
        <f t="shared" ref="C194:L194" si="103">C170</f>
        <v>95</v>
      </c>
      <c r="D194" s="130">
        <f t="shared" si="103"/>
        <v>79</v>
      </c>
      <c r="E194" s="130">
        <f t="shared" si="103"/>
        <v>95</v>
      </c>
      <c r="F194" s="130">
        <f t="shared" si="103"/>
        <v>88</v>
      </c>
      <c r="G194" s="130">
        <f t="shared" si="103"/>
        <v>55</v>
      </c>
      <c r="H194" s="130">
        <f t="shared" si="103"/>
        <v>55</v>
      </c>
      <c r="I194" s="140">
        <f t="shared" si="103"/>
        <v>50</v>
      </c>
      <c r="J194" s="130">
        <f t="shared" si="103"/>
        <v>59</v>
      </c>
      <c r="K194" s="140">
        <f t="shared" si="103"/>
        <v>46</v>
      </c>
      <c r="L194" s="131">
        <f t="shared" si="103"/>
        <v>48</v>
      </c>
    </row>
    <row r="195" spans="1:35" x14ac:dyDescent="0.2">
      <c r="A195" s="270"/>
      <c r="B195" s="114">
        <f t="shared" si="94"/>
        <v>26.175742574257427</v>
      </c>
      <c r="C195" s="125">
        <f t="shared" ref="C195:L195" si="104">C171</f>
        <v>22.458628841607563</v>
      </c>
      <c r="D195" s="126">
        <f t="shared" si="104"/>
        <v>18.67612293144208</v>
      </c>
      <c r="E195" s="126">
        <f t="shared" si="104"/>
        <v>22.458628841607563</v>
      </c>
      <c r="F195" s="126">
        <f t="shared" si="104"/>
        <v>20.803782505910164</v>
      </c>
      <c r="G195" s="126">
        <f t="shared" si="104"/>
        <v>13.002364066193852</v>
      </c>
      <c r="H195" s="126">
        <f t="shared" si="104"/>
        <v>13.002364066193852</v>
      </c>
      <c r="I195" s="127">
        <f t="shared" si="104"/>
        <v>11.82033096926714</v>
      </c>
      <c r="J195" s="126">
        <f t="shared" si="104"/>
        <v>13.947990543735225</v>
      </c>
      <c r="K195" s="127">
        <f t="shared" si="104"/>
        <v>10.874704491725769</v>
      </c>
      <c r="L195" s="128">
        <f t="shared" si="104"/>
        <v>11.347517730496454</v>
      </c>
    </row>
    <row r="196" spans="1:35" ht="13.5" customHeight="1" x14ac:dyDescent="0.2">
      <c r="A196" s="269" t="str">
        <f>A148</f>
        <v>パートタイム・アルバイト・派遣(n = 346 )　　</v>
      </c>
      <c r="B196" s="113">
        <f t="shared" si="94"/>
        <v>346</v>
      </c>
      <c r="C196" s="129">
        <f t="shared" ref="C196:L196" si="105">C172</f>
        <v>72</v>
      </c>
      <c r="D196" s="130">
        <f t="shared" si="105"/>
        <v>66</v>
      </c>
      <c r="E196" s="130">
        <f t="shared" si="105"/>
        <v>57</v>
      </c>
      <c r="F196" s="130">
        <f t="shared" si="105"/>
        <v>56</v>
      </c>
      <c r="G196" s="130">
        <f t="shared" si="105"/>
        <v>49</v>
      </c>
      <c r="H196" s="130">
        <f t="shared" si="105"/>
        <v>54</v>
      </c>
      <c r="I196" s="140">
        <f t="shared" si="105"/>
        <v>49</v>
      </c>
      <c r="J196" s="130">
        <f t="shared" si="105"/>
        <v>56</v>
      </c>
      <c r="K196" s="140">
        <f t="shared" si="105"/>
        <v>43</v>
      </c>
      <c r="L196" s="131">
        <f t="shared" si="105"/>
        <v>40</v>
      </c>
    </row>
    <row r="197" spans="1:35" ht="13.5" customHeight="1" x14ac:dyDescent="0.2">
      <c r="A197" s="270"/>
      <c r="B197" s="114">
        <f t="shared" si="94"/>
        <v>21.410891089108912</v>
      </c>
      <c r="C197" s="125">
        <f t="shared" ref="C197:L197" si="106">C173</f>
        <v>20.809248554913296</v>
      </c>
      <c r="D197" s="126">
        <f t="shared" si="106"/>
        <v>19.075144508670519</v>
      </c>
      <c r="E197" s="126">
        <f t="shared" si="106"/>
        <v>16.473988439306357</v>
      </c>
      <c r="F197" s="126">
        <f t="shared" si="106"/>
        <v>16.184971098265898</v>
      </c>
      <c r="G197" s="126">
        <f t="shared" si="106"/>
        <v>14.16184971098266</v>
      </c>
      <c r="H197" s="126">
        <f t="shared" si="106"/>
        <v>15.606936416184972</v>
      </c>
      <c r="I197" s="127">
        <f t="shared" si="106"/>
        <v>14.16184971098266</v>
      </c>
      <c r="J197" s="126">
        <f t="shared" si="106"/>
        <v>16.184971098265898</v>
      </c>
      <c r="K197" s="127">
        <f t="shared" si="106"/>
        <v>12.427745664739884</v>
      </c>
      <c r="L197" s="128">
        <f t="shared" si="106"/>
        <v>11.560693641618498</v>
      </c>
    </row>
    <row r="198" spans="1:35" ht="13.5" customHeight="1" x14ac:dyDescent="0.2">
      <c r="A198" s="269" t="str">
        <f>A150</f>
        <v>学生(n = 44 )　　</v>
      </c>
      <c r="B198" s="113">
        <f t="shared" si="94"/>
        <v>44</v>
      </c>
      <c r="C198" s="129">
        <f t="shared" ref="C198:L198" si="107">C174</f>
        <v>10</v>
      </c>
      <c r="D198" s="130">
        <f t="shared" si="107"/>
        <v>5</v>
      </c>
      <c r="E198" s="130">
        <f t="shared" si="107"/>
        <v>8</v>
      </c>
      <c r="F198" s="130">
        <f t="shared" si="107"/>
        <v>5</v>
      </c>
      <c r="G198" s="130">
        <f t="shared" si="107"/>
        <v>2</v>
      </c>
      <c r="H198" s="130">
        <f t="shared" si="107"/>
        <v>3</v>
      </c>
      <c r="I198" s="140">
        <f t="shared" si="107"/>
        <v>3</v>
      </c>
      <c r="J198" s="130">
        <f t="shared" si="107"/>
        <v>9</v>
      </c>
      <c r="K198" s="140">
        <f t="shared" si="107"/>
        <v>8</v>
      </c>
      <c r="L198" s="131">
        <f t="shared" si="107"/>
        <v>8</v>
      </c>
    </row>
    <row r="199" spans="1:35" ht="13.5" customHeight="1" x14ac:dyDescent="0.2">
      <c r="A199" s="270"/>
      <c r="B199" s="114">
        <f t="shared" si="94"/>
        <v>2.722772277227723</v>
      </c>
      <c r="C199" s="125">
        <f t="shared" ref="C199:L199" si="108">C175</f>
        <v>22.727272727272727</v>
      </c>
      <c r="D199" s="126">
        <f t="shared" si="108"/>
        <v>11.363636363636363</v>
      </c>
      <c r="E199" s="126">
        <f t="shared" si="108"/>
        <v>18.181818181818183</v>
      </c>
      <c r="F199" s="126">
        <f t="shared" si="108"/>
        <v>11.363636363636363</v>
      </c>
      <c r="G199" s="126">
        <f t="shared" si="108"/>
        <v>4.5454545454545459</v>
      </c>
      <c r="H199" s="126">
        <f t="shared" si="108"/>
        <v>6.8181818181818175</v>
      </c>
      <c r="I199" s="127">
        <f t="shared" si="108"/>
        <v>6.8181818181818175</v>
      </c>
      <c r="J199" s="126">
        <f t="shared" si="108"/>
        <v>20.454545454545457</v>
      </c>
      <c r="K199" s="127">
        <f t="shared" si="108"/>
        <v>18.181818181818183</v>
      </c>
      <c r="L199" s="128">
        <f t="shared" si="108"/>
        <v>18.181818181818183</v>
      </c>
    </row>
    <row r="200" spans="1:35" ht="13.5" customHeight="1" x14ac:dyDescent="0.2">
      <c r="A200" s="269" t="str">
        <f>A152</f>
        <v>家事従事(n = 150 )　　</v>
      </c>
      <c r="B200" s="113">
        <f t="shared" si="94"/>
        <v>150</v>
      </c>
      <c r="C200" s="129">
        <f t="shared" ref="C200:L200" si="109">C176</f>
        <v>28</v>
      </c>
      <c r="D200" s="130">
        <f t="shared" si="109"/>
        <v>28</v>
      </c>
      <c r="E200" s="130">
        <f t="shared" si="109"/>
        <v>25</v>
      </c>
      <c r="F200" s="130">
        <f t="shared" si="109"/>
        <v>21</v>
      </c>
      <c r="G200" s="130">
        <f t="shared" si="109"/>
        <v>26</v>
      </c>
      <c r="H200" s="130">
        <f t="shared" si="109"/>
        <v>20</v>
      </c>
      <c r="I200" s="140">
        <f t="shared" si="109"/>
        <v>17</v>
      </c>
      <c r="J200" s="130">
        <f t="shared" si="109"/>
        <v>11</v>
      </c>
      <c r="K200" s="140">
        <f t="shared" si="109"/>
        <v>8</v>
      </c>
      <c r="L200" s="131">
        <f t="shared" si="109"/>
        <v>17</v>
      </c>
    </row>
    <row r="201" spans="1:35" ht="13.5" customHeight="1" x14ac:dyDescent="0.2">
      <c r="A201" s="270"/>
      <c r="B201" s="114">
        <f t="shared" si="94"/>
        <v>9.282178217821782</v>
      </c>
      <c r="C201" s="125">
        <f t="shared" ref="C201:L201" si="110">C177</f>
        <v>18.666666666666668</v>
      </c>
      <c r="D201" s="126">
        <f t="shared" si="110"/>
        <v>18.666666666666668</v>
      </c>
      <c r="E201" s="126">
        <f t="shared" si="110"/>
        <v>16.666666666666664</v>
      </c>
      <c r="F201" s="126">
        <f t="shared" si="110"/>
        <v>14.000000000000002</v>
      </c>
      <c r="G201" s="126">
        <f t="shared" si="110"/>
        <v>17.333333333333336</v>
      </c>
      <c r="H201" s="126">
        <f t="shared" si="110"/>
        <v>13.333333333333334</v>
      </c>
      <c r="I201" s="127">
        <f t="shared" si="110"/>
        <v>11.333333333333332</v>
      </c>
      <c r="J201" s="126">
        <f t="shared" si="110"/>
        <v>7.333333333333333</v>
      </c>
      <c r="K201" s="127">
        <f t="shared" si="110"/>
        <v>5.3333333333333339</v>
      </c>
      <c r="L201" s="128">
        <f t="shared" si="110"/>
        <v>11.333333333333332</v>
      </c>
    </row>
    <row r="202" spans="1:35" ht="13.5" customHeight="1" x14ac:dyDescent="0.2">
      <c r="A202" s="269" t="str">
        <f>A154</f>
        <v>無職(n = 263 )　　</v>
      </c>
      <c r="B202" s="113">
        <f t="shared" si="94"/>
        <v>263</v>
      </c>
      <c r="C202" s="129">
        <f t="shared" ref="C202:L202" si="111">C178</f>
        <v>56</v>
      </c>
      <c r="D202" s="130">
        <f t="shared" si="111"/>
        <v>54</v>
      </c>
      <c r="E202" s="130">
        <f t="shared" si="111"/>
        <v>38</v>
      </c>
      <c r="F202" s="130">
        <f t="shared" si="111"/>
        <v>18</v>
      </c>
      <c r="G202" s="130">
        <f t="shared" si="111"/>
        <v>52</v>
      </c>
      <c r="H202" s="130">
        <f t="shared" si="111"/>
        <v>30</v>
      </c>
      <c r="I202" s="140">
        <f t="shared" si="111"/>
        <v>31</v>
      </c>
      <c r="J202" s="130">
        <f t="shared" si="111"/>
        <v>13</v>
      </c>
      <c r="K202" s="140">
        <f t="shared" si="111"/>
        <v>28</v>
      </c>
      <c r="L202" s="131">
        <f t="shared" si="111"/>
        <v>30</v>
      </c>
    </row>
    <row r="203" spans="1:35" x14ac:dyDescent="0.2">
      <c r="A203" s="270"/>
      <c r="B203" s="114">
        <f t="shared" si="94"/>
        <v>16.274752475247524</v>
      </c>
      <c r="C203" s="125">
        <f t="shared" ref="C203:L203" si="112">C179</f>
        <v>21.292775665399237</v>
      </c>
      <c r="D203" s="126">
        <f t="shared" si="112"/>
        <v>20.532319391634982</v>
      </c>
      <c r="E203" s="126">
        <f t="shared" si="112"/>
        <v>14.448669201520911</v>
      </c>
      <c r="F203" s="126">
        <f t="shared" si="112"/>
        <v>6.8441064638783269</v>
      </c>
      <c r="G203" s="126">
        <f t="shared" si="112"/>
        <v>19.771863117870723</v>
      </c>
      <c r="H203" s="126">
        <f t="shared" si="112"/>
        <v>11.406844106463879</v>
      </c>
      <c r="I203" s="127">
        <f t="shared" si="112"/>
        <v>11.787072243346007</v>
      </c>
      <c r="J203" s="126">
        <f t="shared" si="112"/>
        <v>4.9429657794676807</v>
      </c>
      <c r="K203" s="127">
        <f t="shared" si="112"/>
        <v>10.646387832699618</v>
      </c>
      <c r="L203" s="128">
        <f t="shared" si="112"/>
        <v>11.406844106463879</v>
      </c>
    </row>
    <row r="204" spans="1:35" x14ac:dyDescent="0.2">
      <c r="A204" s="269" t="str">
        <f>A156</f>
        <v>その他(n = 18 )　　</v>
      </c>
      <c r="B204" s="113">
        <f t="shared" si="94"/>
        <v>18</v>
      </c>
      <c r="C204" s="129">
        <f t="shared" ref="C204:L204" si="113">C180</f>
        <v>2</v>
      </c>
      <c r="D204" s="130">
        <f t="shared" si="113"/>
        <v>2</v>
      </c>
      <c r="E204" s="130">
        <f t="shared" si="113"/>
        <v>5</v>
      </c>
      <c r="F204" s="130">
        <f t="shared" si="113"/>
        <v>3</v>
      </c>
      <c r="G204" s="130">
        <f t="shared" si="113"/>
        <v>1</v>
      </c>
      <c r="H204" s="130">
        <f t="shared" si="113"/>
        <v>2</v>
      </c>
      <c r="I204" s="140">
        <f t="shared" si="113"/>
        <v>2</v>
      </c>
      <c r="J204" s="130">
        <f t="shared" si="113"/>
        <v>2</v>
      </c>
      <c r="K204" s="140">
        <f t="shared" si="113"/>
        <v>3</v>
      </c>
      <c r="L204" s="131">
        <f t="shared" si="113"/>
        <v>4</v>
      </c>
    </row>
    <row r="205" spans="1:35" x14ac:dyDescent="0.2">
      <c r="A205" s="270"/>
      <c r="B205" s="114">
        <f t="shared" si="94"/>
        <v>1.1138613861386137</v>
      </c>
      <c r="C205" s="125">
        <f t="shared" ref="C205:L205" si="114">C181</f>
        <v>11.111111111111111</v>
      </c>
      <c r="D205" s="126">
        <f t="shared" si="114"/>
        <v>11.111111111111111</v>
      </c>
      <c r="E205" s="126">
        <f t="shared" si="114"/>
        <v>27.777777777777779</v>
      </c>
      <c r="F205" s="126">
        <f t="shared" si="114"/>
        <v>16.666666666666664</v>
      </c>
      <c r="G205" s="126">
        <f t="shared" si="114"/>
        <v>5.5555555555555554</v>
      </c>
      <c r="H205" s="126">
        <f t="shared" si="114"/>
        <v>11.111111111111111</v>
      </c>
      <c r="I205" s="127">
        <f t="shared" si="114"/>
        <v>11.111111111111111</v>
      </c>
      <c r="J205" s="126">
        <f t="shared" si="114"/>
        <v>11.111111111111111</v>
      </c>
      <c r="K205" s="127">
        <f t="shared" si="114"/>
        <v>16.666666666666664</v>
      </c>
      <c r="L205" s="128">
        <f t="shared" si="114"/>
        <v>22.222222222222221</v>
      </c>
    </row>
    <row r="206" spans="1:35" x14ac:dyDescent="0.2">
      <c r="A206" s="244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43" t="s">
        <v>371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O207" s="172">
        <v>1</v>
      </c>
      <c r="P207" s="172">
        <v>2</v>
      </c>
      <c r="Q207" s="172">
        <v>3</v>
      </c>
      <c r="R207" s="172">
        <v>4</v>
      </c>
      <c r="S207" s="172">
        <v>5</v>
      </c>
      <c r="T207" s="172">
        <v>6</v>
      </c>
      <c r="U207" s="172">
        <v>7</v>
      </c>
      <c r="V207" s="172">
        <v>8</v>
      </c>
      <c r="W207" s="172">
        <v>9</v>
      </c>
      <c r="X207" s="172">
        <v>10</v>
      </c>
    </row>
    <row r="208" spans="1:35" ht="22.5" customHeight="1" x14ac:dyDescent="0.2">
      <c r="A208" s="12" t="str">
        <f t="shared" ref="A208:L208" si="115">A185</f>
        <v>【職業別】</v>
      </c>
      <c r="B208" s="59" t="str">
        <f t="shared" si="115"/>
        <v>調査数</v>
      </c>
      <c r="C208" s="60" t="str">
        <f t="shared" si="115"/>
        <v>若者の県内定着</v>
      </c>
      <c r="D208" s="61" t="str">
        <f t="shared" si="115"/>
        <v>公共交通の充実</v>
      </c>
      <c r="E208" s="61" t="str">
        <f t="shared" si="115"/>
        <v>少子化対策</v>
      </c>
      <c r="F208" s="61" t="str">
        <f t="shared" si="115"/>
        <v>子育て支援</v>
      </c>
      <c r="G208" s="61" t="str">
        <f t="shared" si="115"/>
        <v>高齢者福祉</v>
      </c>
      <c r="H208" s="61" t="str">
        <f t="shared" si="115"/>
        <v>地域医療の確保</v>
      </c>
      <c r="I208" s="62" t="str">
        <f t="shared" si="115"/>
        <v>防災対策</v>
      </c>
      <c r="J208" s="61" t="str">
        <f t="shared" si="115"/>
        <v>労働環境改善</v>
      </c>
      <c r="K208" s="62" t="str">
        <f t="shared" si="115"/>
        <v>県外からの移住・定住の推進</v>
      </c>
      <c r="L208" s="63" t="str">
        <f t="shared" si="115"/>
        <v>女性の活躍推進</v>
      </c>
      <c r="M208" s="236" t="s">
        <v>32</v>
      </c>
      <c r="N208" s="12" t="str">
        <f>A208</f>
        <v>【職業別】</v>
      </c>
      <c r="O208" s="60" t="str">
        <f t="shared" ref="O208:X208" si="116">C208</f>
        <v>若者の県内定着</v>
      </c>
      <c r="P208" s="61" t="str">
        <f t="shared" si="116"/>
        <v>公共交通の充実</v>
      </c>
      <c r="Q208" s="61" t="str">
        <f t="shared" si="116"/>
        <v>少子化対策</v>
      </c>
      <c r="R208" s="61" t="str">
        <f t="shared" si="116"/>
        <v>子育て支援</v>
      </c>
      <c r="S208" s="242" t="str">
        <f t="shared" si="116"/>
        <v>高齢者福祉</v>
      </c>
      <c r="T208" s="106" t="str">
        <f t="shared" si="116"/>
        <v>地域医療の確保</v>
      </c>
      <c r="U208" s="61" t="str">
        <f t="shared" si="116"/>
        <v>防災対策</v>
      </c>
      <c r="V208" s="61" t="str">
        <f t="shared" si="116"/>
        <v>労働環境改善</v>
      </c>
      <c r="W208" s="62" t="str">
        <f t="shared" si="116"/>
        <v>県外からの移住・定住の推進</v>
      </c>
      <c r="X208" s="63" t="str">
        <f t="shared" si="116"/>
        <v>女性の活躍推進</v>
      </c>
    </row>
    <row r="209" spans="1:24" ht="12.75" customHeight="1" x14ac:dyDescent="0.2">
      <c r="A209" s="269" t="str">
        <f t="shared" ref="A209:L209" si="117">A186</f>
        <v>全体(n = 1,616 )　　</v>
      </c>
      <c r="B209" s="113">
        <f t="shared" si="117"/>
        <v>1616</v>
      </c>
      <c r="C209" s="121">
        <f t="shared" si="117"/>
        <v>340</v>
      </c>
      <c r="D209" s="122">
        <f t="shared" si="117"/>
        <v>301</v>
      </c>
      <c r="E209" s="122">
        <f t="shared" si="117"/>
        <v>291</v>
      </c>
      <c r="F209" s="122">
        <f t="shared" si="117"/>
        <v>252</v>
      </c>
      <c r="G209" s="122">
        <f t="shared" si="117"/>
        <v>223</v>
      </c>
      <c r="H209" s="122">
        <f t="shared" si="117"/>
        <v>214</v>
      </c>
      <c r="I209" s="123">
        <f t="shared" si="117"/>
        <v>191</v>
      </c>
      <c r="J209" s="122">
        <f t="shared" si="117"/>
        <v>179</v>
      </c>
      <c r="K209" s="123">
        <f t="shared" si="117"/>
        <v>179</v>
      </c>
      <c r="L209" s="124">
        <f t="shared" si="117"/>
        <v>178</v>
      </c>
      <c r="M209" s="23"/>
      <c r="N209" s="93" t="str">
        <f>A211</f>
        <v>自営業(n = 175 )　　</v>
      </c>
      <c r="O209" s="84">
        <f t="shared" ref="O209:X209" si="118">C212</f>
        <v>18.857142857142858</v>
      </c>
      <c r="P209" s="85">
        <f t="shared" si="118"/>
        <v>17.142857142857142</v>
      </c>
      <c r="Q209" s="85">
        <f t="shared" si="118"/>
        <v>14.285714285714285</v>
      </c>
      <c r="R209" s="85">
        <f t="shared" si="118"/>
        <v>13.142857142857142</v>
      </c>
      <c r="S209" s="241">
        <f t="shared" si="118"/>
        <v>13.714285714285715</v>
      </c>
      <c r="T209" s="108">
        <f t="shared" si="118"/>
        <v>13.714285714285715</v>
      </c>
      <c r="U209" s="85">
        <f t="shared" si="118"/>
        <v>9.7142857142857135</v>
      </c>
      <c r="V209" s="85">
        <f t="shared" si="118"/>
        <v>4</v>
      </c>
      <c r="W209" s="86">
        <f t="shared" si="118"/>
        <v>9.7142857142857135</v>
      </c>
      <c r="X209" s="87">
        <f t="shared" si="118"/>
        <v>8</v>
      </c>
    </row>
    <row r="210" spans="1:24" ht="12.75" customHeight="1" x14ac:dyDescent="0.2">
      <c r="A210" s="270"/>
      <c r="B210" s="114">
        <f t="shared" ref="B210:L210" si="119">B187</f>
        <v>100</v>
      </c>
      <c r="C210" s="125">
        <f t="shared" si="119"/>
        <v>21.03960396039604</v>
      </c>
      <c r="D210" s="126">
        <f t="shared" si="119"/>
        <v>18.626237623762375</v>
      </c>
      <c r="E210" s="126">
        <f t="shared" si="119"/>
        <v>18.007425742574256</v>
      </c>
      <c r="F210" s="126">
        <f t="shared" si="119"/>
        <v>15.594059405940595</v>
      </c>
      <c r="G210" s="126">
        <f t="shared" si="119"/>
        <v>13.79950495049505</v>
      </c>
      <c r="H210" s="126">
        <f t="shared" si="119"/>
        <v>13.242574257425744</v>
      </c>
      <c r="I210" s="127">
        <f t="shared" si="119"/>
        <v>11.819306930693068</v>
      </c>
      <c r="J210" s="126">
        <f t="shared" si="119"/>
        <v>11.076732673267326</v>
      </c>
      <c r="K210" s="127">
        <f t="shared" si="119"/>
        <v>11.076732673267326</v>
      </c>
      <c r="L210" s="128">
        <f t="shared" si="119"/>
        <v>11.014851485148515</v>
      </c>
      <c r="M210" s="23"/>
      <c r="N210" s="95" t="str">
        <f>A213</f>
        <v>会社・団体役員(n = 171 )　　</v>
      </c>
      <c r="O210" s="88">
        <f t="shared" ref="O210:X210" si="120">C214</f>
        <v>23.976608187134502</v>
      </c>
      <c r="P210" s="89">
        <f t="shared" si="120"/>
        <v>19.883040935672515</v>
      </c>
      <c r="Q210" s="89">
        <f t="shared" si="120"/>
        <v>21.637426900584796</v>
      </c>
      <c r="R210" s="89">
        <f t="shared" si="120"/>
        <v>21.637426900584796</v>
      </c>
      <c r="S210" s="240">
        <f t="shared" si="120"/>
        <v>7.6023391812865491</v>
      </c>
      <c r="T210" s="109">
        <f t="shared" si="120"/>
        <v>14.035087719298245</v>
      </c>
      <c r="U210" s="89">
        <f t="shared" si="120"/>
        <v>11.695906432748536</v>
      </c>
      <c r="V210" s="89">
        <f t="shared" si="120"/>
        <v>12.280701754385964</v>
      </c>
      <c r="W210" s="90">
        <f t="shared" si="120"/>
        <v>15.204678362573098</v>
      </c>
      <c r="X210" s="91">
        <f t="shared" si="120"/>
        <v>9.9415204678362574</v>
      </c>
    </row>
    <row r="211" spans="1:24" ht="13.5" customHeight="1" x14ac:dyDescent="0.2">
      <c r="A211" s="269" t="str">
        <f>A188</f>
        <v>自営業(n = 175 )　　</v>
      </c>
      <c r="B211" s="113">
        <f t="shared" ref="B211:L211" si="121">B188</f>
        <v>175</v>
      </c>
      <c r="C211" s="129">
        <f t="shared" si="121"/>
        <v>33</v>
      </c>
      <c r="D211" s="130">
        <f t="shared" si="121"/>
        <v>30</v>
      </c>
      <c r="E211" s="130">
        <f t="shared" si="121"/>
        <v>25</v>
      </c>
      <c r="F211" s="130">
        <f t="shared" si="121"/>
        <v>23</v>
      </c>
      <c r="G211" s="130">
        <f t="shared" si="121"/>
        <v>24</v>
      </c>
      <c r="H211" s="130">
        <f t="shared" si="121"/>
        <v>24</v>
      </c>
      <c r="I211" s="140">
        <f t="shared" si="121"/>
        <v>17</v>
      </c>
      <c r="J211" s="130">
        <f t="shared" si="121"/>
        <v>7</v>
      </c>
      <c r="K211" s="140">
        <f t="shared" si="121"/>
        <v>17</v>
      </c>
      <c r="L211" s="131">
        <f t="shared" si="121"/>
        <v>14</v>
      </c>
      <c r="M211" s="23"/>
      <c r="N211" s="95" t="str">
        <f>A215</f>
        <v>正規の従業員・職員(n = 423 )　　</v>
      </c>
      <c r="O211" s="88">
        <f t="shared" ref="O211:X211" si="122">C216</f>
        <v>22.458628841607563</v>
      </c>
      <c r="P211" s="89">
        <f t="shared" si="122"/>
        <v>18.67612293144208</v>
      </c>
      <c r="Q211" s="89">
        <f t="shared" si="122"/>
        <v>22.458628841607563</v>
      </c>
      <c r="R211" s="89">
        <f t="shared" si="122"/>
        <v>20.803782505910164</v>
      </c>
      <c r="S211" s="240">
        <f t="shared" si="122"/>
        <v>13.002364066193852</v>
      </c>
      <c r="T211" s="109">
        <f t="shared" si="122"/>
        <v>13.002364066193852</v>
      </c>
      <c r="U211" s="89">
        <f t="shared" si="122"/>
        <v>11.82033096926714</v>
      </c>
      <c r="V211" s="89">
        <f t="shared" si="122"/>
        <v>13.947990543735225</v>
      </c>
      <c r="W211" s="90">
        <f t="shared" si="122"/>
        <v>10.874704491725769</v>
      </c>
      <c r="X211" s="91">
        <f t="shared" si="122"/>
        <v>11.347517730496454</v>
      </c>
    </row>
    <row r="212" spans="1:24" ht="13.5" customHeight="1" x14ac:dyDescent="0.2">
      <c r="A212" s="270"/>
      <c r="B212" s="114">
        <f t="shared" ref="B212:L212" si="123">B189</f>
        <v>10.829207920792079</v>
      </c>
      <c r="C212" s="125">
        <f t="shared" si="123"/>
        <v>18.857142857142858</v>
      </c>
      <c r="D212" s="126">
        <f t="shared" si="123"/>
        <v>17.142857142857142</v>
      </c>
      <c r="E212" s="126">
        <f t="shared" si="123"/>
        <v>14.285714285714285</v>
      </c>
      <c r="F212" s="126">
        <f t="shared" si="123"/>
        <v>13.142857142857142</v>
      </c>
      <c r="G212" s="126">
        <f t="shared" si="123"/>
        <v>13.714285714285715</v>
      </c>
      <c r="H212" s="126">
        <f t="shared" si="123"/>
        <v>13.714285714285715</v>
      </c>
      <c r="I212" s="127">
        <f t="shared" si="123"/>
        <v>9.7142857142857135</v>
      </c>
      <c r="J212" s="126">
        <f t="shared" si="123"/>
        <v>4</v>
      </c>
      <c r="K212" s="127">
        <f t="shared" si="123"/>
        <v>9.7142857142857135</v>
      </c>
      <c r="L212" s="128">
        <f t="shared" si="123"/>
        <v>8</v>
      </c>
      <c r="M212" s="23"/>
      <c r="N212" s="95" t="str">
        <f>A217</f>
        <v>パートタイム・アルバイト・派遣(n = 346 )　　</v>
      </c>
      <c r="O212" s="88">
        <f t="shared" ref="O212:X212" si="124">C218</f>
        <v>20.809248554913296</v>
      </c>
      <c r="P212" s="89">
        <f t="shared" si="124"/>
        <v>19.075144508670519</v>
      </c>
      <c r="Q212" s="89">
        <f t="shared" si="124"/>
        <v>16.473988439306357</v>
      </c>
      <c r="R212" s="89">
        <f t="shared" si="124"/>
        <v>16.184971098265898</v>
      </c>
      <c r="S212" s="240">
        <f t="shared" si="124"/>
        <v>14.16184971098266</v>
      </c>
      <c r="T212" s="109">
        <f t="shared" si="124"/>
        <v>15.606936416184972</v>
      </c>
      <c r="U212" s="89">
        <f t="shared" si="124"/>
        <v>14.16184971098266</v>
      </c>
      <c r="V212" s="89">
        <f t="shared" si="124"/>
        <v>16.184971098265898</v>
      </c>
      <c r="W212" s="90">
        <f t="shared" si="124"/>
        <v>12.427745664739884</v>
      </c>
      <c r="X212" s="91">
        <f t="shared" si="124"/>
        <v>11.560693641618498</v>
      </c>
    </row>
    <row r="213" spans="1:24" ht="13.5" customHeight="1" x14ac:dyDescent="0.2">
      <c r="A213" s="269" t="str">
        <f t="shared" ref="A213:L213" si="125">A192</f>
        <v>会社・団体役員(n = 171 )　　</v>
      </c>
      <c r="B213" s="113">
        <f t="shared" si="125"/>
        <v>171</v>
      </c>
      <c r="C213" s="129">
        <f t="shared" si="125"/>
        <v>41</v>
      </c>
      <c r="D213" s="130">
        <f t="shared" si="125"/>
        <v>34</v>
      </c>
      <c r="E213" s="130">
        <f t="shared" si="125"/>
        <v>37</v>
      </c>
      <c r="F213" s="130">
        <f t="shared" si="125"/>
        <v>37</v>
      </c>
      <c r="G213" s="130">
        <f t="shared" si="125"/>
        <v>13</v>
      </c>
      <c r="H213" s="130">
        <f t="shared" si="125"/>
        <v>24</v>
      </c>
      <c r="I213" s="140">
        <f t="shared" si="125"/>
        <v>20</v>
      </c>
      <c r="J213" s="130">
        <f t="shared" si="125"/>
        <v>21</v>
      </c>
      <c r="K213" s="140">
        <f t="shared" si="125"/>
        <v>26</v>
      </c>
      <c r="L213" s="131">
        <f t="shared" si="125"/>
        <v>17</v>
      </c>
      <c r="N213" s="95" t="str">
        <f>A219</f>
        <v>家事従事(n = 150 )　　</v>
      </c>
      <c r="O213" s="88">
        <f t="shared" ref="O213:X213" si="126">C220</f>
        <v>18.666666666666668</v>
      </c>
      <c r="P213" s="89">
        <f t="shared" si="126"/>
        <v>18.666666666666668</v>
      </c>
      <c r="Q213" s="89">
        <f t="shared" si="126"/>
        <v>16.666666666666664</v>
      </c>
      <c r="R213" s="89">
        <f t="shared" si="126"/>
        <v>14.000000000000002</v>
      </c>
      <c r="S213" s="240">
        <f t="shared" si="126"/>
        <v>17.333333333333336</v>
      </c>
      <c r="T213" s="109">
        <f t="shared" si="126"/>
        <v>13.333333333333334</v>
      </c>
      <c r="U213" s="89">
        <f t="shared" si="126"/>
        <v>11.333333333333332</v>
      </c>
      <c r="V213" s="89">
        <f t="shared" si="126"/>
        <v>7.333333333333333</v>
      </c>
      <c r="W213" s="90">
        <f t="shared" si="126"/>
        <v>5.3333333333333339</v>
      </c>
      <c r="X213" s="91">
        <f t="shared" si="126"/>
        <v>11.333333333333332</v>
      </c>
    </row>
    <row r="214" spans="1:24" ht="13.5" customHeight="1" x14ac:dyDescent="0.2">
      <c r="A214" s="270"/>
      <c r="B214" s="114">
        <f t="shared" ref="B214:L214" si="127">B193</f>
        <v>10.581683168316831</v>
      </c>
      <c r="C214" s="125">
        <f t="shared" si="127"/>
        <v>23.976608187134502</v>
      </c>
      <c r="D214" s="126">
        <f t="shared" si="127"/>
        <v>19.883040935672515</v>
      </c>
      <c r="E214" s="126">
        <f t="shared" si="127"/>
        <v>21.637426900584796</v>
      </c>
      <c r="F214" s="126">
        <f t="shared" si="127"/>
        <v>21.637426900584796</v>
      </c>
      <c r="G214" s="126">
        <f t="shared" si="127"/>
        <v>7.6023391812865491</v>
      </c>
      <c r="H214" s="126">
        <f t="shared" si="127"/>
        <v>14.035087719298245</v>
      </c>
      <c r="I214" s="127">
        <f t="shared" si="127"/>
        <v>11.695906432748536</v>
      </c>
      <c r="J214" s="126">
        <f t="shared" si="127"/>
        <v>12.280701754385964</v>
      </c>
      <c r="K214" s="127">
        <f t="shared" si="127"/>
        <v>15.204678362573098</v>
      </c>
      <c r="L214" s="128">
        <f t="shared" si="127"/>
        <v>9.9415204678362574</v>
      </c>
      <c r="N214" s="95" t="str">
        <f>A221</f>
        <v>無職(n = 263 )　　</v>
      </c>
      <c r="O214" s="88">
        <f t="shared" ref="O214:X214" si="128">C222</f>
        <v>21.292775665399237</v>
      </c>
      <c r="P214" s="89">
        <f t="shared" si="128"/>
        <v>20.532319391634982</v>
      </c>
      <c r="Q214" s="89">
        <f t="shared" si="128"/>
        <v>14.448669201520911</v>
      </c>
      <c r="R214" s="89">
        <f t="shared" si="128"/>
        <v>6.8441064638783269</v>
      </c>
      <c r="S214" s="240">
        <f t="shared" si="128"/>
        <v>19.771863117870723</v>
      </c>
      <c r="T214" s="109">
        <f t="shared" si="128"/>
        <v>11.406844106463879</v>
      </c>
      <c r="U214" s="89">
        <f t="shared" si="128"/>
        <v>11.787072243346007</v>
      </c>
      <c r="V214" s="89">
        <f t="shared" si="128"/>
        <v>4.9429657794676807</v>
      </c>
      <c r="W214" s="90">
        <f t="shared" si="128"/>
        <v>10.646387832699618</v>
      </c>
      <c r="X214" s="91">
        <f t="shared" si="128"/>
        <v>11.406844106463879</v>
      </c>
    </row>
    <row r="215" spans="1:24" ht="13.5" customHeight="1" x14ac:dyDescent="0.2">
      <c r="A215" s="269" t="str">
        <f>A194</f>
        <v>正規の従業員・職員(n = 423 )　　</v>
      </c>
      <c r="B215" s="113">
        <f t="shared" ref="B215:L215" si="129">B194</f>
        <v>423</v>
      </c>
      <c r="C215" s="129">
        <f t="shared" si="129"/>
        <v>95</v>
      </c>
      <c r="D215" s="130">
        <f t="shared" si="129"/>
        <v>79</v>
      </c>
      <c r="E215" s="130">
        <f t="shared" si="129"/>
        <v>95</v>
      </c>
      <c r="F215" s="130">
        <f t="shared" si="129"/>
        <v>88</v>
      </c>
      <c r="G215" s="130">
        <f t="shared" si="129"/>
        <v>55</v>
      </c>
      <c r="H215" s="130">
        <f t="shared" si="129"/>
        <v>55</v>
      </c>
      <c r="I215" s="140">
        <f t="shared" si="129"/>
        <v>50</v>
      </c>
      <c r="J215" s="130">
        <f t="shared" si="129"/>
        <v>59</v>
      </c>
      <c r="K215" s="140">
        <f t="shared" si="129"/>
        <v>46</v>
      </c>
      <c r="L215" s="131">
        <f t="shared" si="129"/>
        <v>48</v>
      </c>
      <c r="N215" s="94" t="str">
        <f>A223</f>
        <v>その他(n = 74 )　　</v>
      </c>
      <c r="O215" s="78">
        <f t="shared" ref="O215:X215" si="130">C224</f>
        <v>17.567567567567568</v>
      </c>
      <c r="P215" s="79">
        <f t="shared" si="130"/>
        <v>13.513513513513514</v>
      </c>
      <c r="Q215" s="79">
        <f t="shared" si="130"/>
        <v>17.567567567567568</v>
      </c>
      <c r="R215" s="79">
        <f t="shared" si="130"/>
        <v>10.810810810810811</v>
      </c>
      <c r="S215" s="239">
        <f t="shared" si="130"/>
        <v>4.0540540540540544</v>
      </c>
      <c r="T215" s="107">
        <f t="shared" si="130"/>
        <v>8.1081081081081088</v>
      </c>
      <c r="U215" s="79">
        <f t="shared" si="130"/>
        <v>9.4594594594594597</v>
      </c>
      <c r="V215" s="79">
        <f t="shared" si="130"/>
        <v>16.216216216216218</v>
      </c>
      <c r="W215" s="80">
        <f t="shared" si="130"/>
        <v>14.864864864864865</v>
      </c>
      <c r="X215" s="81">
        <f t="shared" si="130"/>
        <v>16.216216216216218</v>
      </c>
    </row>
    <row r="216" spans="1:24" ht="13.5" customHeight="1" x14ac:dyDescent="0.2">
      <c r="A216" s="270"/>
      <c r="B216" s="114">
        <f t="shared" ref="B216:L216" si="131">B195</f>
        <v>26.175742574257427</v>
      </c>
      <c r="C216" s="125">
        <f t="shared" si="131"/>
        <v>22.458628841607563</v>
      </c>
      <c r="D216" s="126">
        <f t="shared" si="131"/>
        <v>18.67612293144208</v>
      </c>
      <c r="E216" s="126">
        <f t="shared" si="131"/>
        <v>22.458628841607563</v>
      </c>
      <c r="F216" s="126">
        <f t="shared" si="131"/>
        <v>20.803782505910164</v>
      </c>
      <c r="G216" s="126">
        <f t="shared" si="131"/>
        <v>13.002364066193852</v>
      </c>
      <c r="H216" s="126">
        <f t="shared" si="131"/>
        <v>13.002364066193852</v>
      </c>
      <c r="I216" s="127">
        <f t="shared" si="131"/>
        <v>11.82033096926714</v>
      </c>
      <c r="J216" s="126">
        <f t="shared" si="131"/>
        <v>13.947990543735225</v>
      </c>
      <c r="K216" s="127">
        <f t="shared" si="131"/>
        <v>10.874704491725769</v>
      </c>
      <c r="L216" s="128">
        <f t="shared" si="131"/>
        <v>11.347517730496454</v>
      </c>
    </row>
    <row r="217" spans="1:24" ht="13.5" customHeight="1" x14ac:dyDescent="0.2">
      <c r="A217" s="269" t="str">
        <f>A196</f>
        <v>パートタイム・アルバイト・派遣(n = 346 )　　</v>
      </c>
      <c r="B217" s="113">
        <f t="shared" ref="B217:L217" si="132">B196</f>
        <v>346</v>
      </c>
      <c r="C217" s="129">
        <f t="shared" si="132"/>
        <v>72</v>
      </c>
      <c r="D217" s="130">
        <f t="shared" si="132"/>
        <v>66</v>
      </c>
      <c r="E217" s="130">
        <f t="shared" si="132"/>
        <v>57</v>
      </c>
      <c r="F217" s="130">
        <f t="shared" si="132"/>
        <v>56</v>
      </c>
      <c r="G217" s="130">
        <f t="shared" si="132"/>
        <v>49</v>
      </c>
      <c r="H217" s="130">
        <f t="shared" si="132"/>
        <v>54</v>
      </c>
      <c r="I217" s="140">
        <f t="shared" si="132"/>
        <v>49</v>
      </c>
      <c r="J217" s="130">
        <f t="shared" si="132"/>
        <v>56</v>
      </c>
      <c r="K217" s="140">
        <f t="shared" si="132"/>
        <v>43</v>
      </c>
      <c r="L217" s="131">
        <f t="shared" si="132"/>
        <v>40</v>
      </c>
    </row>
    <row r="218" spans="1:24" ht="13.5" customHeight="1" x14ac:dyDescent="0.2">
      <c r="A218" s="270"/>
      <c r="B218" s="114">
        <f t="shared" ref="B218:L218" si="133">B197</f>
        <v>21.410891089108912</v>
      </c>
      <c r="C218" s="125">
        <f t="shared" si="133"/>
        <v>20.809248554913296</v>
      </c>
      <c r="D218" s="126">
        <f t="shared" si="133"/>
        <v>19.075144508670519</v>
      </c>
      <c r="E218" s="126">
        <f t="shared" si="133"/>
        <v>16.473988439306357</v>
      </c>
      <c r="F218" s="126">
        <f t="shared" si="133"/>
        <v>16.184971098265898</v>
      </c>
      <c r="G218" s="126">
        <f t="shared" si="133"/>
        <v>14.16184971098266</v>
      </c>
      <c r="H218" s="126">
        <f t="shared" si="133"/>
        <v>15.606936416184972</v>
      </c>
      <c r="I218" s="127">
        <f t="shared" si="133"/>
        <v>14.16184971098266</v>
      </c>
      <c r="J218" s="126">
        <f t="shared" si="133"/>
        <v>16.184971098265898</v>
      </c>
      <c r="K218" s="127">
        <f t="shared" si="133"/>
        <v>12.427745664739884</v>
      </c>
      <c r="L218" s="128">
        <f t="shared" si="133"/>
        <v>11.560693641618498</v>
      </c>
    </row>
    <row r="219" spans="1:24" ht="13.5" customHeight="1" x14ac:dyDescent="0.2">
      <c r="A219" s="269" t="str">
        <f t="shared" ref="A219:L219" si="134">A200</f>
        <v>家事従事(n = 150 )　　</v>
      </c>
      <c r="B219" s="113">
        <f t="shared" si="134"/>
        <v>150</v>
      </c>
      <c r="C219" s="129">
        <f t="shared" si="134"/>
        <v>28</v>
      </c>
      <c r="D219" s="130">
        <f t="shared" si="134"/>
        <v>28</v>
      </c>
      <c r="E219" s="130">
        <f t="shared" si="134"/>
        <v>25</v>
      </c>
      <c r="F219" s="130">
        <f t="shared" si="134"/>
        <v>21</v>
      </c>
      <c r="G219" s="130">
        <f t="shared" si="134"/>
        <v>26</v>
      </c>
      <c r="H219" s="130">
        <f t="shared" si="134"/>
        <v>20</v>
      </c>
      <c r="I219" s="140">
        <f t="shared" si="134"/>
        <v>17</v>
      </c>
      <c r="J219" s="130">
        <f t="shared" si="134"/>
        <v>11</v>
      </c>
      <c r="K219" s="140">
        <f t="shared" si="134"/>
        <v>8</v>
      </c>
      <c r="L219" s="131">
        <f t="shared" si="134"/>
        <v>17</v>
      </c>
    </row>
    <row r="220" spans="1:24" ht="13.5" customHeight="1" x14ac:dyDescent="0.2">
      <c r="A220" s="270"/>
      <c r="B220" s="114">
        <f t="shared" ref="B220:L220" si="135">B201</f>
        <v>9.282178217821782</v>
      </c>
      <c r="C220" s="125">
        <f t="shared" si="135"/>
        <v>18.666666666666668</v>
      </c>
      <c r="D220" s="126">
        <f t="shared" si="135"/>
        <v>18.666666666666668</v>
      </c>
      <c r="E220" s="126">
        <f t="shared" si="135"/>
        <v>16.666666666666664</v>
      </c>
      <c r="F220" s="126">
        <f t="shared" si="135"/>
        <v>14.000000000000002</v>
      </c>
      <c r="G220" s="126">
        <f t="shared" si="135"/>
        <v>17.333333333333336</v>
      </c>
      <c r="H220" s="126">
        <f t="shared" si="135"/>
        <v>13.333333333333334</v>
      </c>
      <c r="I220" s="127">
        <f t="shared" si="135"/>
        <v>11.333333333333332</v>
      </c>
      <c r="J220" s="126">
        <f t="shared" si="135"/>
        <v>7.333333333333333</v>
      </c>
      <c r="K220" s="127">
        <f t="shared" si="135"/>
        <v>5.3333333333333339</v>
      </c>
      <c r="L220" s="128">
        <f t="shared" si="135"/>
        <v>11.333333333333332</v>
      </c>
    </row>
    <row r="221" spans="1:24" ht="13.5" customHeight="1" x14ac:dyDescent="0.2">
      <c r="A221" s="269" t="str">
        <f>A202</f>
        <v>無職(n = 263 )　　</v>
      </c>
      <c r="B221" s="113">
        <f t="shared" ref="B221:L221" si="136">B202</f>
        <v>263</v>
      </c>
      <c r="C221" s="129">
        <f t="shared" si="136"/>
        <v>56</v>
      </c>
      <c r="D221" s="130">
        <f t="shared" si="136"/>
        <v>54</v>
      </c>
      <c r="E221" s="130">
        <f t="shared" si="136"/>
        <v>38</v>
      </c>
      <c r="F221" s="130">
        <f t="shared" si="136"/>
        <v>18</v>
      </c>
      <c r="G221" s="130">
        <f t="shared" si="136"/>
        <v>52</v>
      </c>
      <c r="H221" s="130">
        <f t="shared" si="136"/>
        <v>30</v>
      </c>
      <c r="I221" s="140">
        <f t="shared" si="136"/>
        <v>31</v>
      </c>
      <c r="J221" s="130">
        <f t="shared" si="136"/>
        <v>13</v>
      </c>
      <c r="K221" s="140">
        <f t="shared" si="136"/>
        <v>28</v>
      </c>
      <c r="L221" s="131">
        <f t="shared" si="136"/>
        <v>30</v>
      </c>
    </row>
    <row r="222" spans="1:24" x14ac:dyDescent="0.2">
      <c r="A222" s="270"/>
      <c r="B222" s="114">
        <f t="shared" ref="B222:L222" si="137">B203</f>
        <v>16.274752475247524</v>
      </c>
      <c r="C222" s="125">
        <f t="shared" si="137"/>
        <v>21.292775665399237</v>
      </c>
      <c r="D222" s="126">
        <f t="shared" si="137"/>
        <v>20.532319391634982</v>
      </c>
      <c r="E222" s="126">
        <f t="shared" si="137"/>
        <v>14.448669201520911</v>
      </c>
      <c r="F222" s="126">
        <f t="shared" si="137"/>
        <v>6.8441064638783269</v>
      </c>
      <c r="G222" s="126">
        <f t="shared" si="137"/>
        <v>19.771863117870723</v>
      </c>
      <c r="H222" s="126">
        <f t="shared" si="137"/>
        <v>11.406844106463879</v>
      </c>
      <c r="I222" s="127">
        <f t="shared" si="137"/>
        <v>11.787072243346007</v>
      </c>
      <c r="J222" s="126">
        <f t="shared" si="137"/>
        <v>4.9429657794676807</v>
      </c>
      <c r="K222" s="127">
        <f t="shared" si="137"/>
        <v>10.646387832699618</v>
      </c>
      <c r="L222" s="128">
        <f t="shared" si="137"/>
        <v>11.406844106463879</v>
      </c>
    </row>
    <row r="223" spans="1:24" x14ac:dyDescent="0.2">
      <c r="A223" s="269" t="str">
        <f>'問10-1M（表）'!A223</f>
        <v>その他(n = 74 )　　</v>
      </c>
      <c r="B223" s="113">
        <f t="shared" ref="B223:L223" si="138">B190+B198+B204</f>
        <v>74</v>
      </c>
      <c r="C223" s="129">
        <f t="shared" si="138"/>
        <v>13</v>
      </c>
      <c r="D223" s="130">
        <f t="shared" si="138"/>
        <v>10</v>
      </c>
      <c r="E223" s="130">
        <f t="shared" si="138"/>
        <v>13</v>
      </c>
      <c r="F223" s="130">
        <f t="shared" si="138"/>
        <v>8</v>
      </c>
      <c r="G223" s="130">
        <f t="shared" si="138"/>
        <v>3</v>
      </c>
      <c r="H223" s="130">
        <f t="shared" si="138"/>
        <v>6</v>
      </c>
      <c r="I223" s="140">
        <f t="shared" si="138"/>
        <v>7</v>
      </c>
      <c r="J223" s="130">
        <f t="shared" si="138"/>
        <v>12</v>
      </c>
      <c r="K223" s="140">
        <f t="shared" si="138"/>
        <v>11</v>
      </c>
      <c r="L223" s="131">
        <f t="shared" si="138"/>
        <v>12</v>
      </c>
    </row>
    <row r="224" spans="1:24" x14ac:dyDescent="0.2">
      <c r="A224" s="270"/>
      <c r="B224" s="114">
        <f>B223/B209*100</f>
        <v>4.5792079207920793</v>
      </c>
      <c r="C224" s="125">
        <f t="shared" ref="C224:L224" si="139">(C223/$B$223)*100</f>
        <v>17.567567567567568</v>
      </c>
      <c r="D224" s="126">
        <f t="shared" si="139"/>
        <v>13.513513513513514</v>
      </c>
      <c r="E224" s="126">
        <f t="shared" si="139"/>
        <v>17.567567567567568</v>
      </c>
      <c r="F224" s="126">
        <f t="shared" si="139"/>
        <v>10.810810810810811</v>
      </c>
      <c r="G224" s="126">
        <f t="shared" si="139"/>
        <v>4.0540540540540544</v>
      </c>
      <c r="H224" s="126">
        <f t="shared" si="139"/>
        <v>8.1081081081081088</v>
      </c>
      <c r="I224" s="127">
        <f t="shared" si="139"/>
        <v>9.4594594594594597</v>
      </c>
      <c r="J224" s="126">
        <f t="shared" si="139"/>
        <v>16.216216216216218</v>
      </c>
      <c r="K224" s="127">
        <f t="shared" si="139"/>
        <v>14.864864864864865</v>
      </c>
      <c r="L224" s="128">
        <f t="shared" si="139"/>
        <v>16.216216216216218</v>
      </c>
    </row>
  </sheetData>
  <mergeCells count="89">
    <mergeCell ref="A3:A4"/>
    <mergeCell ref="A5:A6"/>
    <mergeCell ref="A7:A8"/>
    <mergeCell ref="A13:A14"/>
    <mergeCell ref="A15:A16"/>
    <mergeCell ref="A17:A18"/>
    <mergeCell ref="A54:A55"/>
    <mergeCell ref="A56:A57"/>
    <mergeCell ref="A58:A59"/>
    <mergeCell ref="A60:A61"/>
    <mergeCell ref="A23:A24"/>
    <mergeCell ref="A25:A26"/>
    <mergeCell ref="A27:A28"/>
    <mergeCell ref="A32:A33"/>
    <mergeCell ref="A34:A35"/>
    <mergeCell ref="A62:A63"/>
    <mergeCell ref="A36:A37"/>
    <mergeCell ref="A38:A39"/>
    <mergeCell ref="A40:A41"/>
    <mergeCell ref="A42:A43"/>
    <mergeCell ref="A44:A45"/>
    <mergeCell ref="A46:A47"/>
    <mergeCell ref="A52:A53"/>
    <mergeCell ref="A64:A65"/>
    <mergeCell ref="A66:A67"/>
    <mergeCell ref="A72:A73"/>
    <mergeCell ref="A74:A75"/>
    <mergeCell ref="A76:A77"/>
    <mergeCell ref="A78:A79"/>
    <mergeCell ref="A80:A81"/>
    <mergeCell ref="A113:A114"/>
    <mergeCell ref="A115:A116"/>
    <mergeCell ref="A117:A118"/>
    <mergeCell ref="A82:A83"/>
    <mergeCell ref="A84:A85"/>
    <mergeCell ref="A86:A87"/>
    <mergeCell ref="A91:A92"/>
    <mergeCell ref="A93:A94"/>
    <mergeCell ref="A123:A124"/>
    <mergeCell ref="A125:A126"/>
    <mergeCell ref="A95:A96"/>
    <mergeCell ref="A97:A98"/>
    <mergeCell ref="A99:A100"/>
    <mergeCell ref="A101:A102"/>
    <mergeCell ref="A107:A108"/>
    <mergeCell ref="A109:A110"/>
    <mergeCell ref="A111:A112"/>
    <mergeCell ref="A127:A128"/>
    <mergeCell ref="A129:A130"/>
    <mergeCell ref="A131:A132"/>
    <mergeCell ref="A133:A134"/>
    <mergeCell ref="A138:A139"/>
    <mergeCell ref="A140:A141"/>
    <mergeCell ref="A142:A143"/>
    <mergeCell ref="A172:A173"/>
    <mergeCell ref="A174:A175"/>
    <mergeCell ref="A176:A177"/>
    <mergeCell ref="A144:A145"/>
    <mergeCell ref="A146:A147"/>
    <mergeCell ref="A148:A149"/>
    <mergeCell ref="A150:A151"/>
    <mergeCell ref="A152:A153"/>
    <mergeCell ref="A178:A179"/>
    <mergeCell ref="A180:A181"/>
    <mergeCell ref="A154:A155"/>
    <mergeCell ref="A156:A157"/>
    <mergeCell ref="A162:A163"/>
    <mergeCell ref="A164:A165"/>
    <mergeCell ref="A166:A167"/>
    <mergeCell ref="A168:A169"/>
    <mergeCell ref="A170:A171"/>
    <mergeCell ref="A186:A187"/>
    <mergeCell ref="A188:A189"/>
    <mergeCell ref="A190:A191"/>
    <mergeCell ref="A192:A193"/>
    <mergeCell ref="A194:A195"/>
    <mergeCell ref="A221:A222"/>
    <mergeCell ref="A223:A224"/>
    <mergeCell ref="A213:A214"/>
    <mergeCell ref="A196:A197"/>
    <mergeCell ref="A198:A199"/>
    <mergeCell ref="A215:A216"/>
    <mergeCell ref="A217:A218"/>
    <mergeCell ref="A219:A220"/>
    <mergeCell ref="A200:A201"/>
    <mergeCell ref="A202:A203"/>
    <mergeCell ref="A204:A205"/>
    <mergeCell ref="A209:A210"/>
    <mergeCell ref="A211:A212"/>
  </mergeCells>
  <phoneticPr fontId="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Q224"/>
  <sheetViews>
    <sheetView topLeftCell="A210" zoomScaleNormal="100" workbookViewId="0">
      <selection activeCell="L228" sqref="L228"/>
    </sheetView>
  </sheetViews>
  <sheetFormatPr defaultRowHeight="13.2" x14ac:dyDescent="0.2"/>
  <sheetData>
    <row r="1" spans="1:43" x14ac:dyDescent="0.2">
      <c r="A1" s="3" t="s">
        <v>424</v>
      </c>
      <c r="B1" s="1" t="s">
        <v>423</v>
      </c>
      <c r="C1" s="8">
        <v>1</v>
      </c>
      <c r="D1" s="9">
        <v>2</v>
      </c>
      <c r="E1" s="8">
        <v>3</v>
      </c>
      <c r="F1" s="9">
        <v>4</v>
      </c>
      <c r="G1" s="8">
        <v>5</v>
      </c>
      <c r="H1" s="9">
        <v>6</v>
      </c>
      <c r="I1" s="8">
        <v>7</v>
      </c>
      <c r="J1" s="9">
        <v>8</v>
      </c>
      <c r="K1" s="8">
        <v>9</v>
      </c>
      <c r="L1" s="9">
        <v>10</v>
      </c>
      <c r="M1" s="8">
        <v>11</v>
      </c>
      <c r="N1" s="9">
        <v>12</v>
      </c>
      <c r="O1" s="8">
        <v>13</v>
      </c>
      <c r="P1" s="9">
        <v>14</v>
      </c>
      <c r="Q1" s="8">
        <v>15</v>
      </c>
      <c r="R1" s="9">
        <v>16</v>
      </c>
      <c r="S1" s="8">
        <v>17</v>
      </c>
      <c r="T1" s="9">
        <v>18</v>
      </c>
      <c r="U1" s="8">
        <v>19</v>
      </c>
      <c r="V1" s="9">
        <v>20</v>
      </c>
      <c r="W1" s="8">
        <v>21</v>
      </c>
      <c r="X1" s="9">
        <v>22</v>
      </c>
      <c r="Y1" s="8">
        <v>23</v>
      </c>
      <c r="Z1" s="9">
        <v>24</v>
      </c>
      <c r="AA1" s="8">
        <v>25</v>
      </c>
      <c r="AB1" s="9">
        <v>26</v>
      </c>
      <c r="AC1" s="8">
        <v>27</v>
      </c>
      <c r="AD1" s="9">
        <v>28</v>
      </c>
      <c r="AE1" s="8">
        <v>29</v>
      </c>
      <c r="AF1" s="9">
        <v>30</v>
      </c>
      <c r="AG1" s="8">
        <v>31</v>
      </c>
      <c r="AH1" s="9">
        <v>32</v>
      </c>
      <c r="AI1" s="8">
        <v>33</v>
      </c>
      <c r="AJ1" s="9">
        <v>34</v>
      </c>
      <c r="AK1" s="8">
        <v>35</v>
      </c>
      <c r="AL1" s="9">
        <v>36</v>
      </c>
    </row>
    <row r="2" spans="1:43" ht="43.2" x14ac:dyDescent="0.2">
      <c r="A2" s="12" t="s">
        <v>20</v>
      </c>
      <c r="B2" s="59" t="s">
        <v>3</v>
      </c>
      <c r="C2" s="60" t="s">
        <v>410</v>
      </c>
      <c r="D2" s="61" t="s">
        <v>403</v>
      </c>
      <c r="E2" s="61" t="s">
        <v>386</v>
      </c>
      <c r="F2" s="61" t="s">
        <v>402</v>
      </c>
      <c r="G2" s="61" t="s">
        <v>380</v>
      </c>
      <c r="H2" s="61" t="s">
        <v>405</v>
      </c>
      <c r="I2" s="61" t="s">
        <v>397</v>
      </c>
      <c r="J2" s="61" t="s">
        <v>407</v>
      </c>
      <c r="K2" s="61" t="s">
        <v>400</v>
      </c>
      <c r="L2" s="61" t="s">
        <v>394</v>
      </c>
      <c r="M2" s="61" t="s">
        <v>379</v>
      </c>
      <c r="N2" s="61" t="s">
        <v>408</v>
      </c>
      <c r="O2" s="61" t="s">
        <v>395</v>
      </c>
      <c r="P2" s="61" t="s">
        <v>383</v>
      </c>
      <c r="Q2" s="62" t="s">
        <v>406</v>
      </c>
      <c r="R2" s="61" t="s">
        <v>389</v>
      </c>
      <c r="S2" s="105" t="s">
        <v>385</v>
      </c>
      <c r="T2" s="105" t="s">
        <v>382</v>
      </c>
      <c r="U2" s="61" t="s">
        <v>401</v>
      </c>
      <c r="V2" s="105" t="s">
        <v>384</v>
      </c>
      <c r="W2" s="61" t="s">
        <v>376</v>
      </c>
      <c r="X2" s="61" t="s">
        <v>375</v>
      </c>
      <c r="Y2" s="61" t="s">
        <v>378</v>
      </c>
      <c r="Z2" s="61" t="s">
        <v>391</v>
      </c>
      <c r="AA2" s="61" t="s">
        <v>377</v>
      </c>
      <c r="AB2" s="61" t="s">
        <v>409</v>
      </c>
      <c r="AC2" s="61" t="s">
        <v>404</v>
      </c>
      <c r="AD2" s="61" t="s">
        <v>390</v>
      </c>
      <c r="AE2" s="61" t="s">
        <v>392</v>
      </c>
      <c r="AF2" s="61" t="s">
        <v>399</v>
      </c>
      <c r="AG2" s="61" t="s">
        <v>398</v>
      </c>
      <c r="AH2" s="61" t="s">
        <v>388</v>
      </c>
      <c r="AI2" s="61" t="s">
        <v>393</v>
      </c>
      <c r="AJ2" s="61" t="s">
        <v>417</v>
      </c>
      <c r="AK2" s="61" t="s">
        <v>381</v>
      </c>
      <c r="AL2" s="61" t="s">
        <v>387</v>
      </c>
      <c r="AM2" s="63"/>
      <c r="AN2" s="5" t="s">
        <v>118</v>
      </c>
    </row>
    <row r="3" spans="1:43" ht="13.5" customHeight="1" x14ac:dyDescent="0.2">
      <c r="A3" s="269" t="str">
        <f>'問10-2M（表）'!A3</f>
        <v>全体(n = 1,616 )　　</v>
      </c>
      <c r="B3" s="34">
        <v>1616</v>
      </c>
      <c r="C3" s="31">
        <v>504</v>
      </c>
      <c r="D3" s="32">
        <v>161</v>
      </c>
      <c r="E3" s="32">
        <v>86</v>
      </c>
      <c r="F3" s="32">
        <v>165</v>
      </c>
      <c r="G3" s="32">
        <v>208</v>
      </c>
      <c r="H3" s="32">
        <v>210</v>
      </c>
      <c r="I3" s="32">
        <v>87</v>
      </c>
      <c r="J3" s="32">
        <v>396</v>
      </c>
      <c r="K3" s="32">
        <v>85</v>
      </c>
      <c r="L3" s="32">
        <v>63</v>
      </c>
      <c r="M3" s="32">
        <v>14</v>
      </c>
      <c r="N3" s="32">
        <v>504</v>
      </c>
      <c r="O3" s="32">
        <v>145</v>
      </c>
      <c r="P3" s="32">
        <v>388</v>
      </c>
      <c r="Q3" s="32">
        <v>438</v>
      </c>
      <c r="R3" s="32">
        <v>178</v>
      </c>
      <c r="S3" s="32">
        <v>157</v>
      </c>
      <c r="T3" s="32">
        <v>79</v>
      </c>
      <c r="U3" s="32">
        <v>161</v>
      </c>
      <c r="V3" s="32">
        <v>223</v>
      </c>
      <c r="W3" s="32">
        <v>183</v>
      </c>
      <c r="X3" s="32">
        <v>135</v>
      </c>
      <c r="Y3" s="32">
        <v>129</v>
      </c>
      <c r="Z3" s="32">
        <v>101</v>
      </c>
      <c r="AA3" s="32">
        <v>49</v>
      </c>
      <c r="AB3" s="32">
        <v>201</v>
      </c>
      <c r="AC3" s="32">
        <v>139</v>
      </c>
      <c r="AD3" s="32">
        <v>83</v>
      </c>
      <c r="AE3" s="32">
        <v>300</v>
      </c>
      <c r="AF3" s="32">
        <v>91</v>
      </c>
      <c r="AG3" s="32">
        <v>237</v>
      </c>
      <c r="AH3" s="32">
        <v>58</v>
      </c>
      <c r="AI3" s="32">
        <v>55</v>
      </c>
      <c r="AJ3" s="32">
        <v>67</v>
      </c>
      <c r="AK3" s="32">
        <v>330</v>
      </c>
      <c r="AL3" s="32">
        <v>134</v>
      </c>
      <c r="AM3" s="258"/>
      <c r="AN3" s="5">
        <f>SUM(C3:AM3)</f>
        <v>6544</v>
      </c>
    </row>
    <row r="4" spans="1:43" x14ac:dyDescent="0.2">
      <c r="A4" s="270"/>
      <c r="B4" s="35">
        <v>100</v>
      </c>
      <c r="C4" s="20">
        <f t="shared" ref="C4:AL4" si="0">C3/$B$3*100</f>
        <v>31.188118811881189</v>
      </c>
      <c r="D4" s="207">
        <f t="shared" si="0"/>
        <v>9.9628712871287135</v>
      </c>
      <c r="E4" s="207">
        <f t="shared" si="0"/>
        <v>5.3217821782178216</v>
      </c>
      <c r="F4" s="207">
        <f t="shared" si="0"/>
        <v>10.21039603960396</v>
      </c>
      <c r="G4" s="207">
        <f t="shared" si="0"/>
        <v>12.871287128712872</v>
      </c>
      <c r="H4" s="207">
        <f t="shared" si="0"/>
        <v>12.995049504950495</v>
      </c>
      <c r="I4" s="207">
        <f t="shared" si="0"/>
        <v>5.3836633663366333</v>
      </c>
      <c r="J4" s="207">
        <f t="shared" si="0"/>
        <v>24.504950495049506</v>
      </c>
      <c r="K4" s="207">
        <f t="shared" si="0"/>
        <v>5.2599009900990099</v>
      </c>
      <c r="L4" s="207">
        <f t="shared" si="0"/>
        <v>3.8985148514851486</v>
      </c>
      <c r="M4" s="207">
        <f t="shared" si="0"/>
        <v>0.86633663366336644</v>
      </c>
      <c r="N4" s="207">
        <f t="shared" si="0"/>
        <v>31.188118811881189</v>
      </c>
      <c r="O4" s="207">
        <f t="shared" si="0"/>
        <v>8.9727722772277225</v>
      </c>
      <c r="P4" s="207">
        <f t="shared" si="0"/>
        <v>24.009900990099009</v>
      </c>
      <c r="Q4" s="207">
        <f t="shared" si="0"/>
        <v>27.103960396039607</v>
      </c>
      <c r="R4" s="207">
        <f t="shared" si="0"/>
        <v>11.014851485148515</v>
      </c>
      <c r="S4" s="207">
        <f t="shared" si="0"/>
        <v>9.7153465346534649</v>
      </c>
      <c r="T4" s="207">
        <f t="shared" si="0"/>
        <v>4.8886138613861387</v>
      </c>
      <c r="U4" s="207">
        <f t="shared" si="0"/>
        <v>9.9628712871287135</v>
      </c>
      <c r="V4" s="207">
        <f t="shared" si="0"/>
        <v>13.79950495049505</v>
      </c>
      <c r="W4" s="207">
        <f t="shared" si="0"/>
        <v>11.324257425742575</v>
      </c>
      <c r="X4" s="207">
        <f t="shared" si="0"/>
        <v>8.3539603960396036</v>
      </c>
      <c r="Y4" s="207">
        <f t="shared" si="0"/>
        <v>7.9826732673267324</v>
      </c>
      <c r="Z4" s="207">
        <f t="shared" si="0"/>
        <v>6.25</v>
      </c>
      <c r="AA4" s="207">
        <f t="shared" si="0"/>
        <v>3.032178217821782</v>
      </c>
      <c r="AB4" s="207">
        <f t="shared" si="0"/>
        <v>12.438118811881187</v>
      </c>
      <c r="AC4" s="207">
        <f t="shared" si="0"/>
        <v>8.6014851485148505</v>
      </c>
      <c r="AD4" s="207">
        <f t="shared" si="0"/>
        <v>5.1361386138613856</v>
      </c>
      <c r="AE4" s="207">
        <f t="shared" si="0"/>
        <v>18.564356435643564</v>
      </c>
      <c r="AF4" s="207">
        <f t="shared" si="0"/>
        <v>5.6311881188118811</v>
      </c>
      <c r="AG4" s="207">
        <f t="shared" si="0"/>
        <v>14.665841584158414</v>
      </c>
      <c r="AH4" s="207">
        <f t="shared" si="0"/>
        <v>3.5891089108910887</v>
      </c>
      <c r="AI4" s="207">
        <f t="shared" si="0"/>
        <v>3.4034653465346536</v>
      </c>
      <c r="AJ4" s="207">
        <f t="shared" si="0"/>
        <v>4.1460396039603964</v>
      </c>
      <c r="AK4" s="207">
        <f t="shared" si="0"/>
        <v>20.420792079207921</v>
      </c>
      <c r="AL4" s="207">
        <f t="shared" si="0"/>
        <v>8.2920792079207928</v>
      </c>
      <c r="AM4" s="208"/>
      <c r="AN4" s="195"/>
    </row>
    <row r="5" spans="1:43" ht="13.5" customHeight="1" x14ac:dyDescent="0.2">
      <c r="A5" s="269" t="str">
        <f>'問10-2M（表）'!A5</f>
        <v>男性(n = 705 )　　</v>
      </c>
      <c r="B5" s="34">
        <v>705</v>
      </c>
      <c r="C5" s="257">
        <v>205</v>
      </c>
      <c r="D5" s="256">
        <v>67</v>
      </c>
      <c r="E5" s="256">
        <v>36</v>
      </c>
      <c r="F5" s="256">
        <v>84</v>
      </c>
      <c r="G5" s="256">
        <v>83</v>
      </c>
      <c r="H5" s="256">
        <v>92</v>
      </c>
      <c r="I5" s="256">
        <v>48</v>
      </c>
      <c r="J5" s="256">
        <v>157</v>
      </c>
      <c r="K5" s="256">
        <v>45</v>
      </c>
      <c r="L5" s="256">
        <v>22</v>
      </c>
      <c r="M5" s="256">
        <v>10</v>
      </c>
      <c r="N5" s="256">
        <v>210</v>
      </c>
      <c r="O5" s="256">
        <v>57</v>
      </c>
      <c r="P5" s="256">
        <v>200</v>
      </c>
      <c r="Q5" s="256">
        <v>187</v>
      </c>
      <c r="R5" s="256">
        <v>78</v>
      </c>
      <c r="S5" s="256">
        <v>89</v>
      </c>
      <c r="T5" s="256">
        <v>43</v>
      </c>
      <c r="U5" s="256">
        <v>82</v>
      </c>
      <c r="V5" s="256">
        <v>84</v>
      </c>
      <c r="W5" s="256">
        <v>75</v>
      </c>
      <c r="X5" s="256">
        <v>52</v>
      </c>
      <c r="Y5" s="256">
        <v>36</v>
      </c>
      <c r="Z5" s="256">
        <v>47</v>
      </c>
      <c r="AA5" s="256">
        <v>23</v>
      </c>
      <c r="AB5" s="256">
        <v>110</v>
      </c>
      <c r="AC5" s="256">
        <v>76</v>
      </c>
      <c r="AD5" s="256">
        <v>32</v>
      </c>
      <c r="AE5" s="256">
        <v>124</v>
      </c>
      <c r="AF5" s="256">
        <v>37</v>
      </c>
      <c r="AG5" s="256">
        <v>90</v>
      </c>
      <c r="AH5" s="256">
        <v>19</v>
      </c>
      <c r="AI5" s="256">
        <v>27</v>
      </c>
      <c r="AJ5" s="256">
        <v>36</v>
      </c>
      <c r="AK5" s="256">
        <v>152</v>
      </c>
      <c r="AL5" s="256">
        <v>81</v>
      </c>
      <c r="AM5" s="255"/>
      <c r="AN5" s="5">
        <f>SUM(C5:AM5)</f>
        <v>2896</v>
      </c>
      <c r="AO5" t="str">
        <f>" 男性（ n = "&amp;B5&amp;"）"</f>
        <v xml:space="preserve"> 男性（ n = 705）</v>
      </c>
    </row>
    <row r="6" spans="1:43" x14ac:dyDescent="0.2">
      <c r="A6" s="270"/>
      <c r="B6" s="35">
        <f>B5/$B$3*100</f>
        <v>43.626237623762378</v>
      </c>
      <c r="C6" s="20">
        <f t="shared" ref="C6:AL6" si="1">C5/$B$5*100</f>
        <v>29.078014184397162</v>
      </c>
      <c r="D6" s="207">
        <f t="shared" si="1"/>
        <v>9.5035460992907801</v>
      </c>
      <c r="E6" s="207">
        <f t="shared" si="1"/>
        <v>5.1063829787234036</v>
      </c>
      <c r="F6" s="207">
        <f t="shared" si="1"/>
        <v>11.914893617021278</v>
      </c>
      <c r="G6" s="207">
        <f t="shared" si="1"/>
        <v>11.773049645390071</v>
      </c>
      <c r="H6" s="207">
        <f t="shared" si="1"/>
        <v>13.049645390070921</v>
      </c>
      <c r="I6" s="207">
        <f t="shared" si="1"/>
        <v>6.8085106382978724</v>
      </c>
      <c r="J6" s="207">
        <f t="shared" si="1"/>
        <v>22.269503546099291</v>
      </c>
      <c r="K6" s="207">
        <f t="shared" si="1"/>
        <v>6.3829787234042552</v>
      </c>
      <c r="L6" s="207">
        <f t="shared" si="1"/>
        <v>3.1205673758865249</v>
      </c>
      <c r="M6" s="207">
        <f t="shared" si="1"/>
        <v>1.4184397163120568</v>
      </c>
      <c r="N6" s="207">
        <f t="shared" si="1"/>
        <v>29.787234042553191</v>
      </c>
      <c r="O6" s="207">
        <f t="shared" si="1"/>
        <v>8.085106382978724</v>
      </c>
      <c r="P6" s="207">
        <f t="shared" si="1"/>
        <v>28.368794326241137</v>
      </c>
      <c r="Q6" s="207">
        <f t="shared" si="1"/>
        <v>26.524822695035461</v>
      </c>
      <c r="R6" s="207">
        <f t="shared" si="1"/>
        <v>11.063829787234042</v>
      </c>
      <c r="S6" s="207">
        <f t="shared" si="1"/>
        <v>12.624113475177303</v>
      </c>
      <c r="T6" s="207">
        <f t="shared" si="1"/>
        <v>6.0992907801418434</v>
      </c>
      <c r="U6" s="207">
        <f t="shared" si="1"/>
        <v>11.631205673758865</v>
      </c>
      <c r="V6" s="207">
        <f t="shared" si="1"/>
        <v>11.914893617021278</v>
      </c>
      <c r="W6" s="207">
        <f t="shared" si="1"/>
        <v>10.638297872340425</v>
      </c>
      <c r="X6" s="207">
        <f t="shared" si="1"/>
        <v>7.375886524822695</v>
      </c>
      <c r="Y6" s="207">
        <f t="shared" si="1"/>
        <v>5.1063829787234036</v>
      </c>
      <c r="Z6" s="207">
        <f t="shared" si="1"/>
        <v>6.666666666666667</v>
      </c>
      <c r="AA6" s="207">
        <f t="shared" si="1"/>
        <v>3.2624113475177303</v>
      </c>
      <c r="AB6" s="207">
        <f t="shared" si="1"/>
        <v>15.602836879432624</v>
      </c>
      <c r="AC6" s="207">
        <f t="shared" si="1"/>
        <v>10.780141843971631</v>
      </c>
      <c r="AD6" s="207">
        <f t="shared" si="1"/>
        <v>4.5390070921985819</v>
      </c>
      <c r="AE6" s="207">
        <f t="shared" si="1"/>
        <v>17.588652482269502</v>
      </c>
      <c r="AF6" s="207">
        <f t="shared" si="1"/>
        <v>5.24822695035461</v>
      </c>
      <c r="AG6" s="207">
        <f t="shared" si="1"/>
        <v>12.76595744680851</v>
      </c>
      <c r="AH6" s="207">
        <f t="shared" si="1"/>
        <v>2.6950354609929077</v>
      </c>
      <c r="AI6" s="207">
        <f t="shared" si="1"/>
        <v>3.8297872340425529</v>
      </c>
      <c r="AJ6" s="207">
        <f t="shared" si="1"/>
        <v>5.1063829787234036</v>
      </c>
      <c r="AK6" s="207">
        <f t="shared" si="1"/>
        <v>21.560283687943262</v>
      </c>
      <c r="AL6" s="207">
        <f t="shared" si="1"/>
        <v>11.48936170212766</v>
      </c>
      <c r="AM6" s="208"/>
      <c r="AN6" s="195"/>
    </row>
    <row r="7" spans="1:43" ht="13.5" customHeight="1" x14ac:dyDescent="0.2">
      <c r="A7" s="269" t="str">
        <f>'問10-2M（表）'!A7</f>
        <v>女性(n = 901 )　　</v>
      </c>
      <c r="B7" s="34">
        <v>901</v>
      </c>
      <c r="C7" s="252">
        <v>294</v>
      </c>
      <c r="D7" s="251">
        <v>93</v>
      </c>
      <c r="E7" s="251">
        <v>47</v>
      </c>
      <c r="F7" s="251">
        <v>80</v>
      </c>
      <c r="G7" s="251">
        <v>123</v>
      </c>
      <c r="H7" s="251">
        <v>114</v>
      </c>
      <c r="I7" s="251">
        <v>39</v>
      </c>
      <c r="J7" s="251">
        <v>235</v>
      </c>
      <c r="K7" s="251">
        <v>39</v>
      </c>
      <c r="L7" s="251">
        <v>38</v>
      </c>
      <c r="M7" s="251">
        <v>4</v>
      </c>
      <c r="N7" s="251">
        <v>290</v>
      </c>
      <c r="O7" s="251">
        <v>88</v>
      </c>
      <c r="P7" s="251">
        <v>187</v>
      </c>
      <c r="Q7" s="251">
        <v>250</v>
      </c>
      <c r="R7" s="251">
        <v>99</v>
      </c>
      <c r="S7" s="251">
        <v>68</v>
      </c>
      <c r="T7" s="251">
        <v>36</v>
      </c>
      <c r="U7" s="251">
        <v>77</v>
      </c>
      <c r="V7" s="251">
        <v>137</v>
      </c>
      <c r="W7" s="251">
        <v>108</v>
      </c>
      <c r="X7" s="251">
        <v>83</v>
      </c>
      <c r="Y7" s="251">
        <v>93</v>
      </c>
      <c r="Z7" s="251">
        <v>54</v>
      </c>
      <c r="AA7" s="251">
        <v>26</v>
      </c>
      <c r="AB7" s="251">
        <v>91</v>
      </c>
      <c r="AC7" s="251">
        <v>62</v>
      </c>
      <c r="AD7" s="251">
        <v>50</v>
      </c>
      <c r="AE7" s="251">
        <v>175</v>
      </c>
      <c r="AF7" s="251">
        <v>54</v>
      </c>
      <c r="AG7" s="251">
        <v>147</v>
      </c>
      <c r="AH7" s="251">
        <v>38</v>
      </c>
      <c r="AI7" s="251">
        <v>28</v>
      </c>
      <c r="AJ7" s="251">
        <v>31</v>
      </c>
      <c r="AK7" s="251">
        <v>177</v>
      </c>
      <c r="AL7" s="251">
        <v>52</v>
      </c>
      <c r="AM7" s="30"/>
      <c r="AN7" s="5">
        <f>SUM(C7:AM7)</f>
        <v>3607</v>
      </c>
      <c r="AO7" t="str">
        <f>" 女性（ n = "&amp;B7&amp;"）"</f>
        <v xml:space="preserve"> 女性（ n = 901）</v>
      </c>
    </row>
    <row r="8" spans="1:43" x14ac:dyDescent="0.2">
      <c r="A8" s="270"/>
      <c r="B8" s="35">
        <f>B7/$B$3*100</f>
        <v>55.754950495049506</v>
      </c>
      <c r="C8" s="248">
        <f t="shared" ref="C8:AL8" si="2">C7/$B$7*100</f>
        <v>32.630410654827969</v>
      </c>
      <c r="D8" s="247">
        <f t="shared" si="2"/>
        <v>10.321864594894562</v>
      </c>
      <c r="E8" s="247">
        <f t="shared" si="2"/>
        <v>5.2164261931187568</v>
      </c>
      <c r="F8" s="247">
        <f t="shared" si="2"/>
        <v>8.8790233074361815</v>
      </c>
      <c r="G8" s="247">
        <f t="shared" si="2"/>
        <v>13.651498335183129</v>
      </c>
      <c r="H8" s="247">
        <f t="shared" si="2"/>
        <v>12.652608213096558</v>
      </c>
      <c r="I8" s="247">
        <f t="shared" si="2"/>
        <v>4.328523862375139</v>
      </c>
      <c r="J8" s="247">
        <f t="shared" si="2"/>
        <v>26.082130965593787</v>
      </c>
      <c r="K8" s="247">
        <f t="shared" si="2"/>
        <v>4.328523862375139</v>
      </c>
      <c r="L8" s="247">
        <f t="shared" si="2"/>
        <v>4.2175360710321863</v>
      </c>
      <c r="M8" s="247">
        <f t="shared" si="2"/>
        <v>0.44395116537180912</v>
      </c>
      <c r="N8" s="247">
        <f t="shared" si="2"/>
        <v>32.186459489456162</v>
      </c>
      <c r="O8" s="247">
        <f t="shared" si="2"/>
        <v>9.7669256381798011</v>
      </c>
      <c r="P8" s="247">
        <f t="shared" si="2"/>
        <v>20.754716981132077</v>
      </c>
      <c r="Q8" s="247">
        <f t="shared" si="2"/>
        <v>27.746947835738066</v>
      </c>
      <c r="R8" s="247">
        <f t="shared" si="2"/>
        <v>10.987791342952276</v>
      </c>
      <c r="S8" s="247">
        <f t="shared" si="2"/>
        <v>7.5471698113207548</v>
      </c>
      <c r="T8" s="247">
        <f t="shared" si="2"/>
        <v>3.9955604883462823</v>
      </c>
      <c r="U8" s="247">
        <f t="shared" si="2"/>
        <v>8.5460599334073262</v>
      </c>
      <c r="V8" s="247">
        <f t="shared" si="2"/>
        <v>15.205327413984463</v>
      </c>
      <c r="W8" s="247">
        <f t="shared" si="2"/>
        <v>11.986681465038846</v>
      </c>
      <c r="X8" s="247">
        <f t="shared" si="2"/>
        <v>9.2119866814650386</v>
      </c>
      <c r="Y8" s="247">
        <f t="shared" si="2"/>
        <v>10.321864594894562</v>
      </c>
      <c r="Z8" s="247">
        <f t="shared" si="2"/>
        <v>5.9933407325194228</v>
      </c>
      <c r="AA8" s="247">
        <f t="shared" si="2"/>
        <v>2.8856825749167592</v>
      </c>
      <c r="AB8" s="247">
        <f t="shared" si="2"/>
        <v>10.099889012208656</v>
      </c>
      <c r="AC8" s="247">
        <f t="shared" si="2"/>
        <v>6.8812430632630415</v>
      </c>
      <c r="AD8" s="247">
        <f t="shared" si="2"/>
        <v>5.5493895671476139</v>
      </c>
      <c r="AE8" s="247">
        <f t="shared" si="2"/>
        <v>19.422863485016649</v>
      </c>
      <c r="AF8" s="247">
        <f t="shared" si="2"/>
        <v>5.9933407325194228</v>
      </c>
      <c r="AG8" s="247">
        <f t="shared" si="2"/>
        <v>16.315205327413985</v>
      </c>
      <c r="AH8" s="247">
        <f t="shared" si="2"/>
        <v>4.2175360710321863</v>
      </c>
      <c r="AI8" s="247">
        <f t="shared" si="2"/>
        <v>3.1076581576026641</v>
      </c>
      <c r="AJ8" s="247">
        <f t="shared" si="2"/>
        <v>3.4406215316315207</v>
      </c>
      <c r="AK8" s="247">
        <f t="shared" si="2"/>
        <v>19.644839067702552</v>
      </c>
      <c r="AL8" s="247">
        <f t="shared" si="2"/>
        <v>5.7713651498335183</v>
      </c>
      <c r="AM8" s="208"/>
      <c r="AN8" s="195"/>
    </row>
    <row r="9" spans="1:43" s="253" customFormat="1" x14ac:dyDescent="0.2">
      <c r="A9" s="254"/>
      <c r="B9" s="182"/>
      <c r="C9" s="182">
        <f t="shared" ref="C9:AL9" si="3">_xlfn.RANK.EQ(C4,$C$4:$AL$4,0)</f>
        <v>1</v>
      </c>
      <c r="D9" s="182">
        <f t="shared" si="3"/>
        <v>16</v>
      </c>
      <c r="E9" s="182">
        <f t="shared" si="3"/>
        <v>27</v>
      </c>
      <c r="F9" s="182">
        <f t="shared" si="3"/>
        <v>15</v>
      </c>
      <c r="G9" s="182">
        <f t="shared" si="3"/>
        <v>11</v>
      </c>
      <c r="H9" s="182">
        <f t="shared" si="3"/>
        <v>10</v>
      </c>
      <c r="I9" s="182">
        <f t="shared" si="3"/>
        <v>26</v>
      </c>
      <c r="J9" s="182">
        <f t="shared" si="3"/>
        <v>4</v>
      </c>
      <c r="K9" s="182">
        <f t="shared" si="3"/>
        <v>28</v>
      </c>
      <c r="L9" s="182">
        <f t="shared" si="3"/>
        <v>32</v>
      </c>
      <c r="M9" s="182">
        <f t="shared" si="3"/>
        <v>36</v>
      </c>
      <c r="N9" s="182">
        <f t="shared" si="3"/>
        <v>1</v>
      </c>
      <c r="O9" s="182">
        <f t="shared" si="3"/>
        <v>19</v>
      </c>
      <c r="P9" s="182">
        <f t="shared" si="3"/>
        <v>5</v>
      </c>
      <c r="Q9" s="182">
        <f t="shared" si="3"/>
        <v>3</v>
      </c>
      <c r="R9" s="182">
        <f t="shared" si="3"/>
        <v>14</v>
      </c>
      <c r="S9" s="182">
        <f t="shared" si="3"/>
        <v>18</v>
      </c>
      <c r="T9" s="182">
        <f t="shared" si="3"/>
        <v>30</v>
      </c>
      <c r="U9" s="182">
        <f t="shared" si="3"/>
        <v>16</v>
      </c>
      <c r="V9" s="182">
        <f t="shared" si="3"/>
        <v>9</v>
      </c>
      <c r="W9" s="182">
        <f t="shared" si="3"/>
        <v>13</v>
      </c>
      <c r="X9" s="182">
        <f t="shared" si="3"/>
        <v>21</v>
      </c>
      <c r="Y9" s="182">
        <f t="shared" si="3"/>
        <v>23</v>
      </c>
      <c r="Z9" s="182">
        <f t="shared" si="3"/>
        <v>24</v>
      </c>
      <c r="AA9" s="182">
        <f t="shared" si="3"/>
        <v>35</v>
      </c>
      <c r="AB9" s="182">
        <f t="shared" si="3"/>
        <v>12</v>
      </c>
      <c r="AC9" s="182">
        <f t="shared" si="3"/>
        <v>20</v>
      </c>
      <c r="AD9" s="182">
        <f t="shared" si="3"/>
        <v>29</v>
      </c>
      <c r="AE9" s="182">
        <f t="shared" si="3"/>
        <v>7</v>
      </c>
      <c r="AF9" s="182">
        <f t="shared" si="3"/>
        <v>25</v>
      </c>
      <c r="AG9" s="182">
        <f t="shared" si="3"/>
        <v>8</v>
      </c>
      <c r="AH9" s="182">
        <f t="shared" si="3"/>
        <v>33</v>
      </c>
      <c r="AI9" s="182">
        <f t="shared" si="3"/>
        <v>34</v>
      </c>
      <c r="AJ9" s="182">
        <f t="shared" si="3"/>
        <v>31</v>
      </c>
      <c r="AK9" s="182">
        <f t="shared" si="3"/>
        <v>6</v>
      </c>
      <c r="AL9" s="182">
        <f t="shared" si="3"/>
        <v>22</v>
      </c>
      <c r="AM9" s="182">
        <v>37</v>
      </c>
      <c r="AN9" s="182"/>
      <c r="AO9" s="182"/>
      <c r="AP9" s="182"/>
      <c r="AQ9" s="182"/>
    </row>
    <row r="10" spans="1:43" s="186" customFormat="1" x14ac:dyDescent="0.2">
      <c r="A10" s="26" t="s">
        <v>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</row>
    <row r="11" spans="1:43" x14ac:dyDescent="0.2">
      <c r="A11" s="6" t="s">
        <v>4</v>
      </c>
      <c r="B11" s="45"/>
      <c r="C11" s="182">
        <v>1</v>
      </c>
      <c r="D11" s="182">
        <v>2</v>
      </c>
      <c r="E11" s="182">
        <v>3</v>
      </c>
      <c r="F11" s="182">
        <v>4</v>
      </c>
      <c r="G11" s="182">
        <v>5</v>
      </c>
      <c r="H11" s="182">
        <v>6</v>
      </c>
      <c r="I11" s="182">
        <v>7</v>
      </c>
      <c r="J11" s="182">
        <v>8</v>
      </c>
      <c r="K11" s="182">
        <v>9</v>
      </c>
      <c r="L11" s="182">
        <v>9</v>
      </c>
      <c r="M11" s="182">
        <v>11</v>
      </c>
      <c r="N11" s="182">
        <v>12</v>
      </c>
      <c r="O11" s="182">
        <v>13</v>
      </c>
      <c r="P11" s="182">
        <v>14</v>
      </c>
      <c r="Q11" s="182">
        <v>15</v>
      </c>
      <c r="R11" s="182">
        <v>16</v>
      </c>
      <c r="S11" s="182">
        <v>17</v>
      </c>
      <c r="T11" s="182">
        <v>18</v>
      </c>
      <c r="U11" s="182">
        <v>19</v>
      </c>
      <c r="V11" s="182">
        <v>20</v>
      </c>
      <c r="W11" s="182">
        <v>21</v>
      </c>
      <c r="X11" s="182">
        <v>22</v>
      </c>
      <c r="Y11" s="182">
        <v>23</v>
      </c>
      <c r="Z11" s="182">
        <v>24</v>
      </c>
      <c r="AA11" s="182">
        <v>24</v>
      </c>
      <c r="AB11" s="182">
        <v>26</v>
      </c>
      <c r="AC11" s="182">
        <v>27</v>
      </c>
      <c r="AD11" s="182">
        <v>28</v>
      </c>
      <c r="AE11" s="182">
        <v>29</v>
      </c>
      <c r="AF11" s="182">
        <v>30</v>
      </c>
      <c r="AG11" s="197">
        <v>31</v>
      </c>
      <c r="AH11" s="182">
        <v>32</v>
      </c>
      <c r="AI11" s="182">
        <v>33</v>
      </c>
      <c r="AJ11" s="197">
        <v>34</v>
      </c>
      <c r="AK11" s="182">
        <v>35</v>
      </c>
      <c r="AL11" s="197">
        <v>36</v>
      </c>
      <c r="AM11" s="197"/>
    </row>
    <row r="12" spans="1:43" ht="43.2" x14ac:dyDescent="0.2">
      <c r="A12" s="12" t="s">
        <v>20</v>
      </c>
      <c r="B12" s="59" t="s">
        <v>3</v>
      </c>
      <c r="C12" s="60" t="s">
        <v>410</v>
      </c>
      <c r="D12" s="61" t="s">
        <v>408</v>
      </c>
      <c r="E12" s="61" t="s">
        <v>406</v>
      </c>
      <c r="F12" s="61" t="s">
        <v>407</v>
      </c>
      <c r="G12" s="61" t="s">
        <v>383</v>
      </c>
      <c r="H12" s="61" t="s">
        <v>381</v>
      </c>
      <c r="I12" s="61" t="s">
        <v>392</v>
      </c>
      <c r="J12" s="61" t="s">
        <v>398</v>
      </c>
      <c r="K12" s="61" t="s">
        <v>384</v>
      </c>
      <c r="L12" s="61" t="s">
        <v>405</v>
      </c>
      <c r="M12" s="61" t="s">
        <v>380</v>
      </c>
      <c r="N12" s="61" t="s">
        <v>409</v>
      </c>
      <c r="O12" s="61" t="s">
        <v>376</v>
      </c>
      <c r="P12" s="61" t="s">
        <v>389</v>
      </c>
      <c r="Q12" s="61" t="s">
        <v>402</v>
      </c>
      <c r="R12" s="62" t="s">
        <v>403</v>
      </c>
      <c r="S12" s="61" t="s">
        <v>401</v>
      </c>
      <c r="T12" s="105" t="s">
        <v>385</v>
      </c>
      <c r="U12" s="61" t="s">
        <v>395</v>
      </c>
      <c r="V12" s="105" t="s">
        <v>404</v>
      </c>
      <c r="W12" s="61" t="s">
        <v>375</v>
      </c>
      <c r="X12" s="61" t="s">
        <v>387</v>
      </c>
      <c r="Y12" s="61" t="s">
        <v>378</v>
      </c>
      <c r="Z12" s="61" t="s">
        <v>391</v>
      </c>
      <c r="AA12" s="61" t="s">
        <v>399</v>
      </c>
      <c r="AB12" s="61" t="s">
        <v>397</v>
      </c>
      <c r="AC12" s="61" t="s">
        <v>386</v>
      </c>
      <c r="AD12" s="61" t="s">
        <v>400</v>
      </c>
      <c r="AE12" s="61" t="s">
        <v>390</v>
      </c>
      <c r="AF12" s="61" t="s">
        <v>382</v>
      </c>
      <c r="AG12" s="61" t="s">
        <v>417</v>
      </c>
      <c r="AH12" s="61" t="s">
        <v>394</v>
      </c>
      <c r="AI12" s="61" t="s">
        <v>388</v>
      </c>
      <c r="AJ12" s="61" t="s">
        <v>393</v>
      </c>
      <c r="AK12" s="61" t="s">
        <v>377</v>
      </c>
      <c r="AL12" s="61" t="s">
        <v>379</v>
      </c>
      <c r="AM12" s="63"/>
      <c r="AN12" s="5" t="s">
        <v>118</v>
      </c>
    </row>
    <row r="13" spans="1:43" ht="13.5" customHeight="1" x14ac:dyDescent="0.2">
      <c r="A13" s="269" t="str">
        <f>A3</f>
        <v>全体(n = 1,616 )　　</v>
      </c>
      <c r="B13" s="113">
        <f>B3</f>
        <v>1616</v>
      </c>
      <c r="C13" s="121">
        <v>504</v>
      </c>
      <c r="D13" s="122">
        <v>504</v>
      </c>
      <c r="E13" s="122">
        <v>438</v>
      </c>
      <c r="F13" s="122">
        <v>396</v>
      </c>
      <c r="G13" s="122">
        <v>388</v>
      </c>
      <c r="H13" s="122">
        <v>330</v>
      </c>
      <c r="I13" s="122">
        <v>300</v>
      </c>
      <c r="J13" s="122">
        <v>237</v>
      </c>
      <c r="K13" s="122">
        <v>223</v>
      </c>
      <c r="L13" s="122">
        <v>210</v>
      </c>
      <c r="M13" s="122">
        <v>208</v>
      </c>
      <c r="N13" s="122">
        <v>201</v>
      </c>
      <c r="O13" s="122">
        <v>183</v>
      </c>
      <c r="P13" s="122">
        <v>178</v>
      </c>
      <c r="Q13" s="122">
        <v>165</v>
      </c>
      <c r="R13" s="123">
        <v>161</v>
      </c>
      <c r="S13" s="122">
        <v>161</v>
      </c>
      <c r="T13" s="122">
        <v>157</v>
      </c>
      <c r="U13" s="122">
        <v>145</v>
      </c>
      <c r="V13" s="154">
        <v>139</v>
      </c>
      <c r="W13" s="122">
        <v>135</v>
      </c>
      <c r="X13" s="122">
        <v>134</v>
      </c>
      <c r="Y13" s="122">
        <v>129</v>
      </c>
      <c r="Z13" s="122">
        <v>101</v>
      </c>
      <c r="AA13" s="122">
        <v>91</v>
      </c>
      <c r="AB13" s="122">
        <v>87</v>
      </c>
      <c r="AC13" s="122">
        <v>86</v>
      </c>
      <c r="AD13" s="122">
        <v>85</v>
      </c>
      <c r="AE13" s="122">
        <v>83</v>
      </c>
      <c r="AF13" s="122">
        <v>79</v>
      </c>
      <c r="AG13" s="122">
        <v>67</v>
      </c>
      <c r="AH13" s="122">
        <v>63</v>
      </c>
      <c r="AI13" s="122">
        <v>58</v>
      </c>
      <c r="AJ13" s="122">
        <v>55</v>
      </c>
      <c r="AK13" s="122">
        <v>49</v>
      </c>
      <c r="AL13" s="122">
        <v>14</v>
      </c>
      <c r="AM13" s="124"/>
      <c r="AN13" s="5">
        <f>SUM(C13:AM13)</f>
        <v>6544</v>
      </c>
    </row>
    <row r="14" spans="1:43" x14ac:dyDescent="0.2">
      <c r="A14" s="270"/>
      <c r="B14" s="114">
        <f>B4</f>
        <v>100</v>
      </c>
      <c r="C14" s="125">
        <v>31.188118811881189</v>
      </c>
      <c r="D14" s="126">
        <v>31.188118811881189</v>
      </c>
      <c r="E14" s="126">
        <v>27.103960396039607</v>
      </c>
      <c r="F14" s="126">
        <v>24.504950495049506</v>
      </c>
      <c r="G14" s="126">
        <v>24.009900990099009</v>
      </c>
      <c r="H14" s="126">
        <v>20.420792079207921</v>
      </c>
      <c r="I14" s="126">
        <v>18.564356435643564</v>
      </c>
      <c r="J14" s="126">
        <v>14.665841584158414</v>
      </c>
      <c r="K14" s="126">
        <v>13.79950495049505</v>
      </c>
      <c r="L14" s="126">
        <v>12.995049504950495</v>
      </c>
      <c r="M14" s="126">
        <v>12.871287128712872</v>
      </c>
      <c r="N14" s="126">
        <v>12.438118811881187</v>
      </c>
      <c r="O14" s="126">
        <v>11.324257425742575</v>
      </c>
      <c r="P14" s="126">
        <v>11.014851485148515</v>
      </c>
      <c r="Q14" s="126">
        <v>10.21039603960396</v>
      </c>
      <c r="R14" s="127">
        <v>9.9628712871287135</v>
      </c>
      <c r="S14" s="126">
        <v>9.9628712871287135</v>
      </c>
      <c r="T14" s="126">
        <v>9.7153465346534649</v>
      </c>
      <c r="U14" s="126">
        <v>8.9727722772277225</v>
      </c>
      <c r="V14" s="142">
        <v>8.6014851485148505</v>
      </c>
      <c r="W14" s="126">
        <v>8.3539603960396036</v>
      </c>
      <c r="X14" s="126">
        <v>8.2920792079207928</v>
      </c>
      <c r="Y14" s="126">
        <v>7.9826732673267324</v>
      </c>
      <c r="Z14" s="126">
        <v>6.25</v>
      </c>
      <c r="AA14" s="126">
        <v>5.6311881188118811</v>
      </c>
      <c r="AB14" s="126">
        <v>5.3836633663366333</v>
      </c>
      <c r="AC14" s="126">
        <v>5.3217821782178216</v>
      </c>
      <c r="AD14" s="126">
        <v>5.2599009900990099</v>
      </c>
      <c r="AE14" s="126">
        <v>5.1361386138613856</v>
      </c>
      <c r="AF14" s="126">
        <v>4.8886138613861387</v>
      </c>
      <c r="AG14" s="126">
        <v>4.1460396039603964</v>
      </c>
      <c r="AH14" s="126">
        <v>3.8985148514851486</v>
      </c>
      <c r="AI14" s="126">
        <v>3.5891089108910887</v>
      </c>
      <c r="AJ14" s="126">
        <v>3.4034653465346536</v>
      </c>
      <c r="AK14" s="126">
        <v>3.032178217821782</v>
      </c>
      <c r="AL14" s="126">
        <v>0.86633663366336644</v>
      </c>
      <c r="AM14" s="128"/>
      <c r="AN14" s="195"/>
    </row>
    <row r="15" spans="1:43" ht="13.5" customHeight="1" x14ac:dyDescent="0.2">
      <c r="A15" s="269" t="str">
        <f>A5</f>
        <v>男性(n = 705 )　　</v>
      </c>
      <c r="B15" s="113">
        <f>B5</f>
        <v>705</v>
      </c>
      <c r="C15" s="121">
        <v>205</v>
      </c>
      <c r="D15" s="122">
        <v>210</v>
      </c>
      <c r="E15" s="122">
        <v>187</v>
      </c>
      <c r="F15" s="122">
        <v>157</v>
      </c>
      <c r="G15" s="122">
        <v>200</v>
      </c>
      <c r="H15" s="122">
        <v>152</v>
      </c>
      <c r="I15" s="122">
        <v>124</v>
      </c>
      <c r="J15" s="122">
        <v>90</v>
      </c>
      <c r="K15" s="122">
        <v>84</v>
      </c>
      <c r="L15" s="122">
        <v>92</v>
      </c>
      <c r="M15" s="122">
        <v>83</v>
      </c>
      <c r="N15" s="122">
        <v>110</v>
      </c>
      <c r="O15" s="122">
        <v>75</v>
      </c>
      <c r="P15" s="122">
        <v>78</v>
      </c>
      <c r="Q15" s="122">
        <v>84</v>
      </c>
      <c r="R15" s="123">
        <v>67</v>
      </c>
      <c r="S15" s="122">
        <v>82</v>
      </c>
      <c r="T15" s="122">
        <v>89</v>
      </c>
      <c r="U15" s="122">
        <v>57</v>
      </c>
      <c r="V15" s="154">
        <v>76</v>
      </c>
      <c r="W15" s="122">
        <v>52</v>
      </c>
      <c r="X15" s="122">
        <v>81</v>
      </c>
      <c r="Y15" s="122">
        <v>36</v>
      </c>
      <c r="Z15" s="122">
        <v>47</v>
      </c>
      <c r="AA15" s="122">
        <v>37</v>
      </c>
      <c r="AB15" s="122">
        <v>48</v>
      </c>
      <c r="AC15" s="122">
        <v>36</v>
      </c>
      <c r="AD15" s="122">
        <v>45</v>
      </c>
      <c r="AE15" s="122">
        <v>32</v>
      </c>
      <c r="AF15" s="122">
        <v>43</v>
      </c>
      <c r="AG15" s="122">
        <v>36</v>
      </c>
      <c r="AH15" s="122">
        <v>22</v>
      </c>
      <c r="AI15" s="122">
        <v>19</v>
      </c>
      <c r="AJ15" s="122">
        <v>27</v>
      </c>
      <c r="AK15" s="122">
        <v>23</v>
      </c>
      <c r="AL15" s="122">
        <v>10</v>
      </c>
      <c r="AM15" s="124"/>
      <c r="AN15" s="5">
        <f>SUM(C15:AM15)</f>
        <v>2896</v>
      </c>
    </row>
    <row r="16" spans="1:43" x14ac:dyDescent="0.2">
      <c r="A16" s="270"/>
      <c r="B16" s="114">
        <f>B6</f>
        <v>43.626237623762378</v>
      </c>
      <c r="C16" s="125">
        <v>29.078014184397162</v>
      </c>
      <c r="D16" s="126">
        <v>29.787234042553191</v>
      </c>
      <c r="E16" s="126">
        <v>26.524822695035461</v>
      </c>
      <c r="F16" s="126">
        <v>22.269503546099291</v>
      </c>
      <c r="G16" s="126">
        <v>28.368794326241137</v>
      </c>
      <c r="H16" s="126">
        <v>21.560283687943262</v>
      </c>
      <c r="I16" s="126">
        <v>17.588652482269502</v>
      </c>
      <c r="J16" s="126">
        <v>12.76595744680851</v>
      </c>
      <c r="K16" s="126">
        <v>11.914893617021278</v>
      </c>
      <c r="L16" s="126">
        <v>13.049645390070921</v>
      </c>
      <c r="M16" s="126">
        <v>11.773049645390071</v>
      </c>
      <c r="N16" s="126">
        <v>15.602836879432624</v>
      </c>
      <c r="O16" s="126">
        <v>10.638297872340425</v>
      </c>
      <c r="P16" s="126">
        <v>11.063829787234042</v>
      </c>
      <c r="Q16" s="126">
        <v>11.914893617021278</v>
      </c>
      <c r="R16" s="127">
        <v>9.5035460992907801</v>
      </c>
      <c r="S16" s="126">
        <v>11.631205673758865</v>
      </c>
      <c r="T16" s="126">
        <v>12.624113475177303</v>
      </c>
      <c r="U16" s="126">
        <v>8.085106382978724</v>
      </c>
      <c r="V16" s="142">
        <v>10.780141843971631</v>
      </c>
      <c r="W16" s="126">
        <v>7.375886524822695</v>
      </c>
      <c r="X16" s="126">
        <v>11.48936170212766</v>
      </c>
      <c r="Y16" s="126">
        <v>5.1063829787234036</v>
      </c>
      <c r="Z16" s="126">
        <v>6.666666666666667</v>
      </c>
      <c r="AA16" s="126">
        <v>5.24822695035461</v>
      </c>
      <c r="AB16" s="126">
        <v>6.8085106382978724</v>
      </c>
      <c r="AC16" s="126">
        <v>5.1063829787234036</v>
      </c>
      <c r="AD16" s="126">
        <v>6.3829787234042552</v>
      </c>
      <c r="AE16" s="126">
        <v>4.5390070921985819</v>
      </c>
      <c r="AF16" s="126">
        <v>6.0992907801418434</v>
      </c>
      <c r="AG16" s="126">
        <v>5.1063829787234036</v>
      </c>
      <c r="AH16" s="126">
        <v>3.1205673758865249</v>
      </c>
      <c r="AI16" s="126">
        <v>2.6950354609929077</v>
      </c>
      <c r="AJ16" s="126">
        <v>3.8297872340425529</v>
      </c>
      <c r="AK16" s="126">
        <v>3.2624113475177303</v>
      </c>
      <c r="AL16" s="126">
        <v>1.4184397163120568</v>
      </c>
      <c r="AM16" s="128"/>
      <c r="AN16" s="195"/>
    </row>
    <row r="17" spans="1:40" ht="13.5" customHeight="1" x14ac:dyDescent="0.2">
      <c r="A17" s="269" t="str">
        <f>A7</f>
        <v>女性(n = 901 )　　</v>
      </c>
      <c r="B17" s="113">
        <f>B7</f>
        <v>901</v>
      </c>
      <c r="C17" s="121">
        <v>294</v>
      </c>
      <c r="D17" s="122">
        <v>290</v>
      </c>
      <c r="E17" s="122">
        <v>250</v>
      </c>
      <c r="F17" s="122">
        <v>235</v>
      </c>
      <c r="G17" s="122">
        <v>187</v>
      </c>
      <c r="H17" s="122">
        <v>177</v>
      </c>
      <c r="I17" s="122">
        <v>175</v>
      </c>
      <c r="J17" s="122">
        <v>147</v>
      </c>
      <c r="K17" s="122">
        <v>137</v>
      </c>
      <c r="L17" s="122">
        <v>114</v>
      </c>
      <c r="M17" s="122">
        <v>123</v>
      </c>
      <c r="N17" s="122">
        <v>91</v>
      </c>
      <c r="O17" s="122">
        <v>108</v>
      </c>
      <c r="P17" s="122">
        <v>99</v>
      </c>
      <c r="Q17" s="122">
        <v>80</v>
      </c>
      <c r="R17" s="123">
        <v>93</v>
      </c>
      <c r="S17" s="122">
        <v>77</v>
      </c>
      <c r="T17" s="122">
        <v>68</v>
      </c>
      <c r="U17" s="122">
        <v>88</v>
      </c>
      <c r="V17" s="154">
        <v>62</v>
      </c>
      <c r="W17" s="122">
        <v>83</v>
      </c>
      <c r="X17" s="122">
        <v>52</v>
      </c>
      <c r="Y17" s="122">
        <v>93</v>
      </c>
      <c r="Z17" s="122">
        <v>54</v>
      </c>
      <c r="AA17" s="122">
        <v>54</v>
      </c>
      <c r="AB17" s="122">
        <v>39</v>
      </c>
      <c r="AC17" s="122">
        <v>47</v>
      </c>
      <c r="AD17" s="122">
        <v>39</v>
      </c>
      <c r="AE17" s="122">
        <v>50</v>
      </c>
      <c r="AF17" s="122">
        <v>36</v>
      </c>
      <c r="AG17" s="122">
        <v>31</v>
      </c>
      <c r="AH17" s="122">
        <v>38</v>
      </c>
      <c r="AI17" s="122">
        <v>38</v>
      </c>
      <c r="AJ17" s="122">
        <v>28</v>
      </c>
      <c r="AK17" s="122">
        <v>26</v>
      </c>
      <c r="AL17" s="122">
        <v>4</v>
      </c>
      <c r="AM17" s="124"/>
      <c r="AN17" s="5">
        <f>SUM(C17:AM17)</f>
        <v>3607</v>
      </c>
    </row>
    <row r="18" spans="1:40" x14ac:dyDescent="0.2">
      <c r="A18" s="270"/>
      <c r="B18" s="114">
        <f>B8</f>
        <v>55.754950495049506</v>
      </c>
      <c r="C18" s="125">
        <v>32.630410654827969</v>
      </c>
      <c r="D18" s="126">
        <v>32.186459489456162</v>
      </c>
      <c r="E18" s="126">
        <v>27.746947835738066</v>
      </c>
      <c r="F18" s="126">
        <v>26.082130965593787</v>
      </c>
      <c r="G18" s="126">
        <v>20.754716981132077</v>
      </c>
      <c r="H18" s="126">
        <v>19.644839067702552</v>
      </c>
      <c r="I18" s="126">
        <v>19.422863485016649</v>
      </c>
      <c r="J18" s="126">
        <v>16.315205327413985</v>
      </c>
      <c r="K18" s="126">
        <v>15.205327413984463</v>
      </c>
      <c r="L18" s="126">
        <v>12.652608213096558</v>
      </c>
      <c r="M18" s="126">
        <v>13.651498335183129</v>
      </c>
      <c r="N18" s="126">
        <v>10.099889012208656</v>
      </c>
      <c r="O18" s="126">
        <v>11.986681465038846</v>
      </c>
      <c r="P18" s="126">
        <v>10.987791342952276</v>
      </c>
      <c r="Q18" s="126">
        <v>8.8790233074361815</v>
      </c>
      <c r="R18" s="127">
        <v>10.321864594894562</v>
      </c>
      <c r="S18" s="126">
        <v>8.5460599334073262</v>
      </c>
      <c r="T18" s="126">
        <v>7.5471698113207548</v>
      </c>
      <c r="U18" s="126">
        <v>9.7669256381798011</v>
      </c>
      <c r="V18" s="142">
        <v>6.8812430632630415</v>
      </c>
      <c r="W18" s="126">
        <v>9.2119866814650386</v>
      </c>
      <c r="X18" s="126">
        <v>5.7713651498335183</v>
      </c>
      <c r="Y18" s="126">
        <v>10.321864594894562</v>
      </c>
      <c r="Z18" s="126">
        <v>5.9933407325194228</v>
      </c>
      <c r="AA18" s="126">
        <v>5.9933407325194228</v>
      </c>
      <c r="AB18" s="126">
        <v>4.328523862375139</v>
      </c>
      <c r="AC18" s="126">
        <v>5.2164261931187568</v>
      </c>
      <c r="AD18" s="126">
        <v>4.328523862375139</v>
      </c>
      <c r="AE18" s="126">
        <v>5.5493895671476139</v>
      </c>
      <c r="AF18" s="126">
        <v>3.9955604883462823</v>
      </c>
      <c r="AG18" s="126">
        <v>3.4406215316315207</v>
      </c>
      <c r="AH18" s="126">
        <v>4.2175360710321863</v>
      </c>
      <c r="AI18" s="126">
        <v>4.2175360710321863</v>
      </c>
      <c r="AJ18" s="126">
        <v>3.1076581576026641</v>
      </c>
      <c r="AK18" s="126">
        <v>2.8856825749167592</v>
      </c>
      <c r="AL18" s="126">
        <v>0.44395116537180912</v>
      </c>
      <c r="AM18" s="128"/>
      <c r="AN18" s="195"/>
    </row>
    <row r="19" spans="1:40" s="186" customFormat="1" x14ac:dyDescent="0.2">
      <c r="A19" s="184"/>
      <c r="B19" s="182"/>
      <c r="C19" s="182">
        <v>1</v>
      </c>
      <c r="D19" s="182">
        <v>1</v>
      </c>
      <c r="E19" s="182">
        <v>3</v>
      </c>
      <c r="F19" s="182">
        <v>4</v>
      </c>
      <c r="G19" s="182">
        <v>5</v>
      </c>
      <c r="H19" s="182">
        <v>6</v>
      </c>
      <c r="I19" s="182">
        <v>7</v>
      </c>
      <c r="J19" s="182">
        <v>8</v>
      </c>
      <c r="K19" s="182">
        <v>9</v>
      </c>
      <c r="L19" s="182">
        <v>10</v>
      </c>
      <c r="M19" s="182">
        <v>11</v>
      </c>
      <c r="N19" s="182">
        <v>12</v>
      </c>
      <c r="O19" s="182">
        <v>13</v>
      </c>
      <c r="P19" s="182">
        <v>14</v>
      </c>
      <c r="Q19" s="182">
        <v>15</v>
      </c>
      <c r="R19" s="182">
        <v>16</v>
      </c>
      <c r="S19" s="182">
        <v>16</v>
      </c>
      <c r="T19" s="182">
        <v>18</v>
      </c>
      <c r="U19" s="182">
        <v>19</v>
      </c>
      <c r="V19" s="182">
        <v>20</v>
      </c>
      <c r="W19" s="182">
        <v>21</v>
      </c>
      <c r="X19" s="182">
        <v>22</v>
      </c>
      <c r="Y19" s="182">
        <v>23</v>
      </c>
      <c r="Z19" s="182">
        <v>24</v>
      </c>
      <c r="AA19" s="182">
        <v>25</v>
      </c>
      <c r="AB19" s="182">
        <v>26</v>
      </c>
      <c r="AC19" s="182">
        <v>27</v>
      </c>
      <c r="AD19" s="182">
        <v>28</v>
      </c>
      <c r="AE19" s="182">
        <v>29</v>
      </c>
      <c r="AF19" s="182">
        <v>30</v>
      </c>
      <c r="AG19" s="182">
        <v>31</v>
      </c>
      <c r="AH19" s="182">
        <v>32</v>
      </c>
      <c r="AI19" s="182">
        <v>33</v>
      </c>
      <c r="AJ19" s="185">
        <v>34</v>
      </c>
      <c r="AK19" s="185">
        <v>35</v>
      </c>
      <c r="AL19" s="185">
        <v>36</v>
      </c>
      <c r="AM19" s="185"/>
      <c r="AN19" s="182"/>
    </row>
    <row r="20" spans="1:40" x14ac:dyDescent="0.2">
      <c r="A20" s="26" t="s">
        <v>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40" x14ac:dyDescent="0.2">
      <c r="A21" s="6" t="s">
        <v>370</v>
      </c>
      <c r="B21" s="4"/>
      <c r="C21" s="27">
        <v>1</v>
      </c>
      <c r="D21" s="27">
        <v>2</v>
      </c>
      <c r="E21" s="27">
        <v>3</v>
      </c>
      <c r="F21" s="27">
        <v>4</v>
      </c>
      <c r="G21" s="27">
        <v>5</v>
      </c>
      <c r="H21" s="27">
        <v>6</v>
      </c>
      <c r="I21" s="27">
        <v>7</v>
      </c>
      <c r="J21" s="27">
        <v>8</v>
      </c>
      <c r="K21" s="27">
        <v>9</v>
      </c>
      <c r="L21" s="27">
        <v>10</v>
      </c>
      <c r="O21" s="172">
        <v>1</v>
      </c>
      <c r="P21" s="172">
        <v>2</v>
      </c>
      <c r="Q21" s="172">
        <v>3</v>
      </c>
      <c r="R21" s="172">
        <v>4</v>
      </c>
      <c r="S21" s="172">
        <v>5</v>
      </c>
      <c r="T21" s="172">
        <v>6</v>
      </c>
      <c r="U21" s="172">
        <v>7</v>
      </c>
      <c r="V21" s="172">
        <v>8</v>
      </c>
      <c r="W21" s="172">
        <v>9</v>
      </c>
      <c r="X21" s="172">
        <v>10</v>
      </c>
    </row>
    <row r="22" spans="1:40" ht="32.4" x14ac:dyDescent="0.2">
      <c r="A22" s="12" t="str">
        <f>A2</f>
        <v>【性別】</v>
      </c>
      <c r="B22" s="59" t="str">
        <f>B2</f>
        <v>調査数</v>
      </c>
      <c r="C22" s="60" t="str">
        <f t="shared" ref="C22:L22" si="4">C12</f>
        <v>防災対策</v>
      </c>
      <c r="D22" s="61" t="str">
        <f t="shared" si="4"/>
        <v>高齢者福祉</v>
      </c>
      <c r="E22" s="61" t="str">
        <f t="shared" si="4"/>
        <v>子育て支援</v>
      </c>
      <c r="F22" s="61" t="str">
        <f t="shared" si="4"/>
        <v>地域医療の確保</v>
      </c>
      <c r="G22" s="61" t="str">
        <f t="shared" si="4"/>
        <v>少子化対策</v>
      </c>
      <c r="H22" s="61" t="str">
        <f t="shared" si="4"/>
        <v>若者の県内定着</v>
      </c>
      <c r="I22" s="61" t="str">
        <f t="shared" si="4"/>
        <v>公共交通の充実</v>
      </c>
      <c r="J22" s="61" t="str">
        <f t="shared" si="4"/>
        <v>学校教育の充実</v>
      </c>
      <c r="K22" s="61" t="str">
        <f t="shared" si="4"/>
        <v>就労支援</v>
      </c>
      <c r="L22" s="63" t="str">
        <f t="shared" si="4"/>
        <v>防犯・交通安全対策</v>
      </c>
      <c r="M22" s="44" t="s">
        <v>32</v>
      </c>
      <c r="N22" s="12" t="str">
        <f>A22</f>
        <v>【性別】</v>
      </c>
      <c r="O22" s="60" t="str">
        <f t="shared" ref="O22:X22" si="5">C22</f>
        <v>防災対策</v>
      </c>
      <c r="P22" s="61" t="str">
        <f t="shared" si="5"/>
        <v>高齢者福祉</v>
      </c>
      <c r="Q22" s="61" t="str">
        <f t="shared" si="5"/>
        <v>子育て支援</v>
      </c>
      <c r="R22" s="61" t="str">
        <f t="shared" si="5"/>
        <v>地域医療の確保</v>
      </c>
      <c r="S22" s="61" t="str">
        <f t="shared" si="5"/>
        <v>少子化対策</v>
      </c>
      <c r="T22" s="61" t="str">
        <f t="shared" si="5"/>
        <v>若者の県内定着</v>
      </c>
      <c r="U22" s="61" t="str">
        <f t="shared" si="5"/>
        <v>公共交通の充実</v>
      </c>
      <c r="V22" s="61" t="str">
        <f t="shared" si="5"/>
        <v>学校教育の充実</v>
      </c>
      <c r="W22" s="62" t="str">
        <f t="shared" si="5"/>
        <v>就労支援</v>
      </c>
      <c r="X22" s="63" t="str">
        <f t="shared" si="5"/>
        <v>防犯・交通安全対策</v>
      </c>
    </row>
    <row r="23" spans="1:40" ht="12.75" customHeight="1" x14ac:dyDescent="0.2">
      <c r="A23" s="269" t="str">
        <f>A3</f>
        <v>全体(n = 1,616 )　　</v>
      </c>
      <c r="B23" s="113">
        <f>B3</f>
        <v>1616</v>
      </c>
      <c r="C23" s="121">
        <f t="shared" ref="C23:L23" si="6">C13</f>
        <v>504</v>
      </c>
      <c r="D23" s="122">
        <f t="shared" si="6"/>
        <v>504</v>
      </c>
      <c r="E23" s="122">
        <f t="shared" si="6"/>
        <v>438</v>
      </c>
      <c r="F23" s="122">
        <f t="shared" si="6"/>
        <v>396</v>
      </c>
      <c r="G23" s="122">
        <f t="shared" si="6"/>
        <v>388</v>
      </c>
      <c r="H23" s="122">
        <f t="shared" si="6"/>
        <v>330</v>
      </c>
      <c r="I23" s="122">
        <f t="shared" si="6"/>
        <v>300</v>
      </c>
      <c r="J23" s="122">
        <f t="shared" si="6"/>
        <v>237</v>
      </c>
      <c r="K23" s="122">
        <f t="shared" si="6"/>
        <v>223</v>
      </c>
      <c r="L23" s="124">
        <f t="shared" si="6"/>
        <v>210</v>
      </c>
      <c r="N23" s="93" t="str">
        <f>A25</f>
        <v>男性(n = 705 )　　</v>
      </c>
      <c r="O23" s="74">
        <f t="shared" ref="O23:X23" si="7">C26</f>
        <v>29.078014184397162</v>
      </c>
      <c r="P23" s="75">
        <f t="shared" si="7"/>
        <v>29.787234042553191</v>
      </c>
      <c r="Q23" s="75">
        <f t="shared" si="7"/>
        <v>26.524822695035461</v>
      </c>
      <c r="R23" s="75">
        <f t="shared" si="7"/>
        <v>22.269503546099291</v>
      </c>
      <c r="S23" s="75">
        <f t="shared" si="7"/>
        <v>28.368794326241137</v>
      </c>
      <c r="T23" s="75">
        <f t="shared" si="7"/>
        <v>21.560283687943262</v>
      </c>
      <c r="U23" s="75">
        <f t="shared" si="7"/>
        <v>17.588652482269502</v>
      </c>
      <c r="V23" s="75">
        <f t="shared" si="7"/>
        <v>12.76595744680851</v>
      </c>
      <c r="W23" s="76">
        <f t="shared" si="7"/>
        <v>11.914893617021278</v>
      </c>
      <c r="X23" s="77">
        <f t="shared" si="7"/>
        <v>13.049645390070921</v>
      </c>
    </row>
    <row r="24" spans="1:40" ht="12.75" customHeight="1" x14ac:dyDescent="0.2">
      <c r="A24" s="270"/>
      <c r="B24" s="114">
        <f>B4</f>
        <v>100</v>
      </c>
      <c r="C24" s="125">
        <f t="shared" ref="C24:L24" si="8">C14</f>
        <v>31.188118811881189</v>
      </c>
      <c r="D24" s="126">
        <f t="shared" si="8"/>
        <v>31.188118811881189</v>
      </c>
      <c r="E24" s="126">
        <f t="shared" si="8"/>
        <v>27.103960396039607</v>
      </c>
      <c r="F24" s="126">
        <f t="shared" si="8"/>
        <v>24.504950495049506</v>
      </c>
      <c r="G24" s="126">
        <f t="shared" si="8"/>
        <v>24.009900990099009</v>
      </c>
      <c r="H24" s="126">
        <f t="shared" si="8"/>
        <v>20.420792079207921</v>
      </c>
      <c r="I24" s="126">
        <f t="shared" si="8"/>
        <v>18.564356435643564</v>
      </c>
      <c r="J24" s="126">
        <f t="shared" si="8"/>
        <v>14.665841584158414</v>
      </c>
      <c r="K24" s="126">
        <f t="shared" si="8"/>
        <v>13.79950495049505</v>
      </c>
      <c r="L24" s="128">
        <f t="shared" si="8"/>
        <v>12.995049504950495</v>
      </c>
      <c r="N24" s="94" t="str">
        <f>A27</f>
        <v>女性(n = 901 )　　</v>
      </c>
      <c r="O24" s="78">
        <f t="shared" ref="O24:X24" si="9">C28</f>
        <v>32.630410654827969</v>
      </c>
      <c r="P24" s="79">
        <f t="shared" si="9"/>
        <v>32.186459489456162</v>
      </c>
      <c r="Q24" s="79">
        <f t="shared" si="9"/>
        <v>27.746947835738066</v>
      </c>
      <c r="R24" s="79">
        <f t="shared" si="9"/>
        <v>26.082130965593787</v>
      </c>
      <c r="S24" s="79">
        <f t="shared" si="9"/>
        <v>20.754716981132077</v>
      </c>
      <c r="T24" s="79">
        <f t="shared" si="9"/>
        <v>19.644839067702552</v>
      </c>
      <c r="U24" s="79">
        <f t="shared" si="9"/>
        <v>19.422863485016649</v>
      </c>
      <c r="V24" s="79">
        <f t="shared" si="9"/>
        <v>16.315205327413985</v>
      </c>
      <c r="W24" s="80">
        <f t="shared" si="9"/>
        <v>15.205327413984463</v>
      </c>
      <c r="X24" s="81">
        <f t="shared" si="9"/>
        <v>12.652608213096558</v>
      </c>
    </row>
    <row r="25" spans="1:40" x14ac:dyDescent="0.2">
      <c r="A25" s="269" t="str">
        <f>A5</f>
        <v>男性(n = 705 )　　</v>
      </c>
      <c r="B25" s="113">
        <f>B5</f>
        <v>705</v>
      </c>
      <c r="C25" s="129">
        <f t="shared" ref="C25:L25" si="10">C15</f>
        <v>205</v>
      </c>
      <c r="D25" s="130">
        <f t="shared" si="10"/>
        <v>210</v>
      </c>
      <c r="E25" s="130">
        <f t="shared" si="10"/>
        <v>187</v>
      </c>
      <c r="F25" s="130">
        <f t="shared" si="10"/>
        <v>157</v>
      </c>
      <c r="G25" s="130">
        <f t="shared" si="10"/>
        <v>200</v>
      </c>
      <c r="H25" s="130">
        <f t="shared" si="10"/>
        <v>152</v>
      </c>
      <c r="I25" s="130">
        <f t="shared" si="10"/>
        <v>124</v>
      </c>
      <c r="J25" s="130">
        <f t="shared" si="10"/>
        <v>90</v>
      </c>
      <c r="K25" s="130">
        <f t="shared" si="10"/>
        <v>84</v>
      </c>
      <c r="L25" s="131">
        <f t="shared" si="10"/>
        <v>92</v>
      </c>
      <c r="O25" s="25">
        <f t="shared" ref="O25:X25" si="11">O23-O24</f>
        <v>-3.5523964704308071</v>
      </c>
      <c r="P25" s="25">
        <f t="shared" si="11"/>
        <v>-2.399225446902971</v>
      </c>
      <c r="Q25" s="25">
        <f t="shared" si="11"/>
        <v>-1.2221251407026053</v>
      </c>
      <c r="R25" s="25">
        <f t="shared" si="11"/>
        <v>-3.8126274194944969</v>
      </c>
      <c r="S25" s="25">
        <f t="shared" si="11"/>
        <v>7.6140773451090595</v>
      </c>
      <c r="T25" s="25">
        <f t="shared" si="11"/>
        <v>1.9154446202407094</v>
      </c>
      <c r="U25" s="25">
        <f t="shared" si="11"/>
        <v>-1.8342110027471463</v>
      </c>
      <c r="V25" s="25">
        <f t="shared" si="11"/>
        <v>-3.5492478806054741</v>
      </c>
      <c r="W25" s="25">
        <f t="shared" si="11"/>
        <v>-3.2904337969631854</v>
      </c>
      <c r="X25" s="25">
        <f t="shared" si="11"/>
        <v>0.39703717697436325</v>
      </c>
    </row>
    <row r="26" spans="1:40" x14ac:dyDescent="0.2">
      <c r="A26" s="270"/>
      <c r="B26" s="114">
        <f>B6</f>
        <v>43.626237623762378</v>
      </c>
      <c r="C26" s="125">
        <f t="shared" ref="C26:L26" si="12">C16</f>
        <v>29.078014184397162</v>
      </c>
      <c r="D26" s="126">
        <f t="shared" si="12"/>
        <v>29.787234042553191</v>
      </c>
      <c r="E26" s="126">
        <f t="shared" si="12"/>
        <v>26.524822695035461</v>
      </c>
      <c r="F26" s="126">
        <f t="shared" si="12"/>
        <v>22.269503546099291</v>
      </c>
      <c r="G26" s="126">
        <f t="shared" si="12"/>
        <v>28.368794326241137</v>
      </c>
      <c r="H26" s="126">
        <f t="shared" si="12"/>
        <v>21.560283687943262</v>
      </c>
      <c r="I26" s="126">
        <f t="shared" si="12"/>
        <v>17.588652482269502</v>
      </c>
      <c r="J26" s="126">
        <f t="shared" si="12"/>
        <v>12.76595744680851</v>
      </c>
      <c r="K26" s="126">
        <f t="shared" si="12"/>
        <v>11.914893617021278</v>
      </c>
      <c r="L26" s="128">
        <f t="shared" si="12"/>
        <v>13.049645390070921</v>
      </c>
    </row>
    <row r="27" spans="1:40" x14ac:dyDescent="0.2">
      <c r="A27" s="269" t="str">
        <f>A7</f>
        <v>女性(n = 901 )　　</v>
      </c>
      <c r="B27" s="113">
        <f>B7</f>
        <v>901</v>
      </c>
      <c r="C27" s="129">
        <f t="shared" ref="C27:L27" si="13">C17</f>
        <v>294</v>
      </c>
      <c r="D27" s="130">
        <f t="shared" si="13"/>
        <v>290</v>
      </c>
      <c r="E27" s="130">
        <f t="shared" si="13"/>
        <v>250</v>
      </c>
      <c r="F27" s="130">
        <f t="shared" si="13"/>
        <v>235</v>
      </c>
      <c r="G27" s="130">
        <f t="shared" si="13"/>
        <v>187</v>
      </c>
      <c r="H27" s="130">
        <f t="shared" si="13"/>
        <v>177</v>
      </c>
      <c r="I27" s="130">
        <f t="shared" si="13"/>
        <v>175</v>
      </c>
      <c r="J27" s="130">
        <f t="shared" si="13"/>
        <v>147</v>
      </c>
      <c r="K27" s="130">
        <f t="shared" si="13"/>
        <v>137</v>
      </c>
      <c r="L27" s="131">
        <f t="shared" si="13"/>
        <v>114</v>
      </c>
    </row>
    <row r="28" spans="1:40" x14ac:dyDescent="0.2">
      <c r="A28" s="270"/>
      <c r="B28" s="114">
        <f>B8</f>
        <v>55.754950495049506</v>
      </c>
      <c r="C28" s="125">
        <f t="shared" ref="C28:L28" si="14">C18</f>
        <v>32.630410654827969</v>
      </c>
      <c r="D28" s="126">
        <f t="shared" si="14"/>
        <v>32.186459489456162</v>
      </c>
      <c r="E28" s="126">
        <f t="shared" si="14"/>
        <v>27.746947835738066</v>
      </c>
      <c r="F28" s="126">
        <f t="shared" si="14"/>
        <v>26.082130965593787</v>
      </c>
      <c r="G28" s="126">
        <f t="shared" si="14"/>
        <v>20.754716981132077</v>
      </c>
      <c r="H28" s="126">
        <f t="shared" si="14"/>
        <v>19.644839067702552</v>
      </c>
      <c r="I28" s="126">
        <f t="shared" si="14"/>
        <v>19.422863485016649</v>
      </c>
      <c r="J28" s="126">
        <f t="shared" si="14"/>
        <v>16.315205327413985</v>
      </c>
      <c r="K28" s="126">
        <f t="shared" si="14"/>
        <v>15.205327413984463</v>
      </c>
      <c r="L28" s="128">
        <f t="shared" si="14"/>
        <v>12.652608213096558</v>
      </c>
    </row>
    <row r="30" spans="1:40" x14ac:dyDescent="0.2">
      <c r="A30" s="3" t="s">
        <v>422</v>
      </c>
      <c r="B30" s="1" t="str">
        <f>B1</f>
        <v>重点的に進めるべきだと思う分野</v>
      </c>
      <c r="C30" s="8">
        <v>1</v>
      </c>
      <c r="D30" s="9">
        <v>2</v>
      </c>
      <c r="E30" s="8">
        <v>3</v>
      </c>
      <c r="F30" s="9">
        <v>4</v>
      </c>
      <c r="G30" s="8">
        <v>5</v>
      </c>
      <c r="H30" s="9">
        <v>6</v>
      </c>
      <c r="I30" s="8">
        <v>7</v>
      </c>
      <c r="J30" s="9">
        <v>8</v>
      </c>
      <c r="K30" s="8">
        <v>9</v>
      </c>
      <c r="L30" s="9">
        <v>10</v>
      </c>
      <c r="M30" s="8">
        <v>11</v>
      </c>
      <c r="N30" s="9">
        <v>12</v>
      </c>
      <c r="O30" s="8">
        <v>13</v>
      </c>
      <c r="P30" s="9">
        <v>14</v>
      </c>
      <c r="Q30" s="8">
        <v>15</v>
      </c>
      <c r="R30" s="9">
        <v>16</v>
      </c>
      <c r="S30" s="8">
        <v>17</v>
      </c>
      <c r="T30" s="9">
        <v>18</v>
      </c>
      <c r="U30" s="8">
        <v>19</v>
      </c>
      <c r="V30" s="9">
        <v>20</v>
      </c>
      <c r="W30" s="8">
        <v>21</v>
      </c>
      <c r="X30" s="9">
        <v>22</v>
      </c>
      <c r="Y30" s="8">
        <v>23</v>
      </c>
      <c r="Z30" s="9">
        <v>24</v>
      </c>
      <c r="AA30" s="8">
        <v>25</v>
      </c>
      <c r="AB30" s="9">
        <v>26</v>
      </c>
      <c r="AC30" s="8">
        <v>27</v>
      </c>
      <c r="AD30" s="9">
        <v>28</v>
      </c>
      <c r="AE30" s="8">
        <v>29</v>
      </c>
      <c r="AF30" s="9">
        <v>30</v>
      </c>
      <c r="AG30" s="8">
        <v>31</v>
      </c>
      <c r="AH30" s="9">
        <v>32</v>
      </c>
      <c r="AI30" s="8">
        <v>33</v>
      </c>
      <c r="AJ30" s="9">
        <v>34</v>
      </c>
      <c r="AK30" s="8">
        <v>35</v>
      </c>
      <c r="AL30" s="9">
        <v>36</v>
      </c>
      <c r="AM30" s="8"/>
    </row>
    <row r="31" spans="1:40" ht="33.75" customHeight="1" x14ac:dyDescent="0.2">
      <c r="A31" s="12" t="s">
        <v>59</v>
      </c>
      <c r="B31" s="59" t="str">
        <f>B2</f>
        <v>調査数</v>
      </c>
      <c r="C31" s="60" t="str">
        <f t="shared" ref="C31:AL31" si="15">C2</f>
        <v>防災対策</v>
      </c>
      <c r="D31" s="61" t="str">
        <f t="shared" si="15"/>
        <v>自然環境保全</v>
      </c>
      <c r="E31" s="61" t="str">
        <f t="shared" si="15"/>
        <v>住環境保全</v>
      </c>
      <c r="F31" s="61" t="str">
        <f t="shared" si="15"/>
        <v>廃棄物対策</v>
      </c>
      <c r="G31" s="61" t="str">
        <f t="shared" si="15"/>
        <v>消費者保護</v>
      </c>
      <c r="H31" s="61" t="str">
        <f t="shared" si="15"/>
        <v>防犯・交通安全対策</v>
      </c>
      <c r="I31" s="61" t="str">
        <f t="shared" si="15"/>
        <v>地域コミュニティの活性化</v>
      </c>
      <c r="J31" s="61" t="str">
        <f t="shared" si="15"/>
        <v>地域医療の確保</v>
      </c>
      <c r="K31" s="61" t="str">
        <f t="shared" si="15"/>
        <v>健康増進</v>
      </c>
      <c r="L31" s="61" t="str">
        <f t="shared" si="15"/>
        <v>食品の安全対策</v>
      </c>
      <c r="M31" s="61" t="str">
        <f t="shared" si="15"/>
        <v>薬物対策</v>
      </c>
      <c r="N31" s="61" t="str">
        <f t="shared" si="15"/>
        <v>高齢者福祉</v>
      </c>
      <c r="O31" s="61" t="str">
        <f t="shared" si="15"/>
        <v>障がい者福祉</v>
      </c>
      <c r="P31" s="61" t="str">
        <f t="shared" si="15"/>
        <v>少子化対策</v>
      </c>
      <c r="Q31" s="61" t="str">
        <f t="shared" si="15"/>
        <v>子育て支援</v>
      </c>
      <c r="R31" s="61" t="str">
        <f t="shared" si="15"/>
        <v>中小企業支援</v>
      </c>
      <c r="S31" s="61" t="str">
        <f t="shared" si="15"/>
        <v>企業誘致</v>
      </c>
      <c r="T31" s="61" t="str">
        <f t="shared" si="15"/>
        <v>成長産業分野の振興</v>
      </c>
      <c r="U31" s="61" t="str">
        <f t="shared" si="15"/>
        <v>観光振興</v>
      </c>
      <c r="V31" s="105" t="str">
        <f t="shared" si="15"/>
        <v>就労支援</v>
      </c>
      <c r="W31" s="61" t="str">
        <f t="shared" si="15"/>
        <v>労働環境改善</v>
      </c>
      <c r="X31" s="61" t="str">
        <f t="shared" si="15"/>
        <v>様々な産業を担う人材の育成</v>
      </c>
      <c r="Y31" s="61" t="str">
        <f t="shared" si="15"/>
        <v>女性の活躍推進</v>
      </c>
      <c r="Z31" s="61" t="str">
        <f t="shared" si="15"/>
        <v>農業等振興</v>
      </c>
      <c r="AA31" s="61" t="str">
        <f t="shared" si="15"/>
        <v>林業振興</v>
      </c>
      <c r="AB31" s="61" t="str">
        <f t="shared" si="15"/>
        <v>道路整備・維持管理</v>
      </c>
      <c r="AC31" s="61" t="str">
        <f t="shared" si="15"/>
        <v>河川整備・維持管理</v>
      </c>
      <c r="AD31" s="61" t="str">
        <f t="shared" si="15"/>
        <v>砂防対策</v>
      </c>
      <c r="AE31" s="61" t="str">
        <f t="shared" si="15"/>
        <v>公共交通の充実</v>
      </c>
      <c r="AF31" s="61" t="str">
        <f t="shared" si="15"/>
        <v>公園整備</v>
      </c>
      <c r="AG31" s="61" t="str">
        <f t="shared" si="15"/>
        <v>学校教育の充実</v>
      </c>
      <c r="AH31" s="61" t="str">
        <f t="shared" si="15"/>
        <v>社会教育・生涯学習の充実</v>
      </c>
      <c r="AI31" s="61" t="str">
        <f t="shared" si="15"/>
        <v>文化・芸術の振興</v>
      </c>
      <c r="AJ31" s="61" t="str">
        <f t="shared" si="15"/>
        <v>スポーツやレクリエーションの推進</v>
      </c>
      <c r="AK31" s="61" t="str">
        <f t="shared" si="15"/>
        <v>若者の県内定着</v>
      </c>
      <c r="AL31" s="61" t="str">
        <f t="shared" si="15"/>
        <v>県外からの移住・定住の推進</v>
      </c>
      <c r="AM31" s="63"/>
      <c r="AN31" s="5" t="s">
        <v>118</v>
      </c>
    </row>
    <row r="32" spans="1:40" x14ac:dyDescent="0.2">
      <c r="A32" s="269" t="str">
        <f>'問10-2M（表）'!A32</f>
        <v>全体(n = 1,616 )　　</v>
      </c>
      <c r="B32" s="227" t="str">
        <f>'問9S（表）'!B34</f>
        <v>1,616</v>
      </c>
      <c r="C32" s="31">
        <f>$C$3</f>
        <v>504</v>
      </c>
      <c r="D32" s="32">
        <f>$D$3</f>
        <v>161</v>
      </c>
      <c r="E32" s="32">
        <f>$E$3</f>
        <v>86</v>
      </c>
      <c r="F32" s="32">
        <f>$F$3</f>
        <v>165</v>
      </c>
      <c r="G32" s="32">
        <f>$G$3</f>
        <v>208</v>
      </c>
      <c r="H32" s="32">
        <f>$H$3</f>
        <v>210</v>
      </c>
      <c r="I32" s="32">
        <f>$I$3</f>
        <v>87</v>
      </c>
      <c r="J32" s="32">
        <f>$J$3</f>
        <v>396</v>
      </c>
      <c r="K32" s="32">
        <f>$K$3</f>
        <v>85</v>
      </c>
      <c r="L32" s="32">
        <f>$L$3</f>
        <v>63</v>
      </c>
      <c r="M32" s="32">
        <f>$M$3</f>
        <v>14</v>
      </c>
      <c r="N32" s="32">
        <f>$N$3</f>
        <v>504</v>
      </c>
      <c r="O32" s="32">
        <f>$O$3</f>
        <v>145</v>
      </c>
      <c r="P32" s="32">
        <f>$P$3</f>
        <v>388</v>
      </c>
      <c r="Q32" s="32">
        <f>$Q$3</f>
        <v>438</v>
      </c>
      <c r="R32" s="32">
        <f>$R$3</f>
        <v>178</v>
      </c>
      <c r="S32" s="32">
        <f>$S$3</f>
        <v>157</v>
      </c>
      <c r="T32" s="32">
        <f>$T$3</f>
        <v>79</v>
      </c>
      <c r="U32" s="32">
        <f>$U$3</f>
        <v>161</v>
      </c>
      <c r="V32" s="32">
        <f>$V$3</f>
        <v>223</v>
      </c>
      <c r="W32" s="32">
        <f>$W$3</f>
        <v>183</v>
      </c>
      <c r="X32" s="32">
        <f>$X$3</f>
        <v>135</v>
      </c>
      <c r="Y32" s="32">
        <f>$Y$3</f>
        <v>129</v>
      </c>
      <c r="Z32" s="32">
        <f>$Z$3</f>
        <v>101</v>
      </c>
      <c r="AA32" s="32">
        <f>$AA$3</f>
        <v>49</v>
      </c>
      <c r="AB32" s="32">
        <f>$AB$3</f>
        <v>201</v>
      </c>
      <c r="AC32" s="32">
        <f>$AC$3</f>
        <v>139</v>
      </c>
      <c r="AD32" s="32">
        <f>$AD$3</f>
        <v>83</v>
      </c>
      <c r="AE32" s="32">
        <f>$AE$3</f>
        <v>300</v>
      </c>
      <c r="AF32" s="32">
        <f>$AF$3</f>
        <v>91</v>
      </c>
      <c r="AG32" s="32">
        <f>$AG$3</f>
        <v>237</v>
      </c>
      <c r="AH32" s="32">
        <f>$AH$3</f>
        <v>58</v>
      </c>
      <c r="AI32" s="32">
        <f>$AI$3</f>
        <v>55</v>
      </c>
      <c r="AJ32" s="32">
        <f>$AJ$3</f>
        <v>67</v>
      </c>
      <c r="AK32" s="32">
        <f>$AK$3</f>
        <v>330</v>
      </c>
      <c r="AL32" s="32">
        <f>$AL$3</f>
        <v>134</v>
      </c>
      <c r="AM32" s="33"/>
      <c r="AN32" s="5">
        <f>SUM(C32:AM32)</f>
        <v>6544</v>
      </c>
    </row>
    <row r="33" spans="1:43" x14ac:dyDescent="0.2">
      <c r="A33" s="270"/>
      <c r="B33" s="35">
        <f>'問9S（表）'!B35</f>
        <v>100</v>
      </c>
      <c r="C33" s="20">
        <f t="shared" ref="C33:AL33" si="16">C32/$B$32*100</f>
        <v>31.188118811881189</v>
      </c>
      <c r="D33" s="207">
        <f t="shared" si="16"/>
        <v>9.9628712871287135</v>
      </c>
      <c r="E33" s="207">
        <f t="shared" si="16"/>
        <v>5.3217821782178216</v>
      </c>
      <c r="F33" s="207">
        <f t="shared" si="16"/>
        <v>10.21039603960396</v>
      </c>
      <c r="G33" s="207">
        <f t="shared" si="16"/>
        <v>12.871287128712872</v>
      </c>
      <c r="H33" s="207">
        <f t="shared" si="16"/>
        <v>12.995049504950495</v>
      </c>
      <c r="I33" s="207">
        <f t="shared" si="16"/>
        <v>5.3836633663366333</v>
      </c>
      <c r="J33" s="207">
        <f t="shared" si="16"/>
        <v>24.504950495049506</v>
      </c>
      <c r="K33" s="207">
        <f t="shared" si="16"/>
        <v>5.2599009900990099</v>
      </c>
      <c r="L33" s="207">
        <f t="shared" si="16"/>
        <v>3.8985148514851486</v>
      </c>
      <c r="M33" s="207">
        <f t="shared" si="16"/>
        <v>0.86633663366336644</v>
      </c>
      <c r="N33" s="207">
        <f t="shared" si="16"/>
        <v>31.188118811881189</v>
      </c>
      <c r="O33" s="207">
        <f t="shared" si="16"/>
        <v>8.9727722772277225</v>
      </c>
      <c r="P33" s="207">
        <f t="shared" si="16"/>
        <v>24.009900990099009</v>
      </c>
      <c r="Q33" s="207">
        <f t="shared" si="16"/>
        <v>27.103960396039607</v>
      </c>
      <c r="R33" s="207">
        <f t="shared" si="16"/>
        <v>11.014851485148515</v>
      </c>
      <c r="S33" s="207">
        <f t="shared" si="16"/>
        <v>9.7153465346534649</v>
      </c>
      <c r="T33" s="207">
        <f t="shared" si="16"/>
        <v>4.8886138613861387</v>
      </c>
      <c r="U33" s="207">
        <f t="shared" si="16"/>
        <v>9.9628712871287135</v>
      </c>
      <c r="V33" s="207">
        <f t="shared" si="16"/>
        <v>13.79950495049505</v>
      </c>
      <c r="W33" s="207">
        <f t="shared" si="16"/>
        <v>11.324257425742575</v>
      </c>
      <c r="X33" s="207">
        <f t="shared" si="16"/>
        <v>8.3539603960396036</v>
      </c>
      <c r="Y33" s="207">
        <f t="shared" si="16"/>
        <v>7.9826732673267324</v>
      </c>
      <c r="Z33" s="207">
        <f t="shared" si="16"/>
        <v>6.25</v>
      </c>
      <c r="AA33" s="207">
        <f t="shared" si="16"/>
        <v>3.032178217821782</v>
      </c>
      <c r="AB33" s="207">
        <f t="shared" si="16"/>
        <v>12.438118811881187</v>
      </c>
      <c r="AC33" s="207">
        <f t="shared" si="16"/>
        <v>8.6014851485148505</v>
      </c>
      <c r="AD33" s="207">
        <f t="shared" si="16"/>
        <v>5.1361386138613856</v>
      </c>
      <c r="AE33" s="207">
        <f t="shared" si="16"/>
        <v>18.564356435643564</v>
      </c>
      <c r="AF33" s="207">
        <f t="shared" si="16"/>
        <v>5.6311881188118811</v>
      </c>
      <c r="AG33" s="207">
        <f t="shared" si="16"/>
        <v>14.665841584158414</v>
      </c>
      <c r="AH33" s="207">
        <f t="shared" si="16"/>
        <v>3.5891089108910887</v>
      </c>
      <c r="AI33" s="207">
        <f t="shared" si="16"/>
        <v>3.4034653465346536</v>
      </c>
      <c r="AJ33" s="207">
        <f t="shared" si="16"/>
        <v>4.1460396039603964</v>
      </c>
      <c r="AK33" s="207">
        <f t="shared" si="16"/>
        <v>20.420792079207921</v>
      </c>
      <c r="AL33" s="207">
        <f t="shared" si="16"/>
        <v>8.2920792079207928</v>
      </c>
      <c r="AM33" s="208"/>
      <c r="AN33" s="195"/>
    </row>
    <row r="34" spans="1:43" x14ac:dyDescent="0.2">
      <c r="A34" s="269" t="str">
        <f>'問10-2M（表）'!A34</f>
        <v>18～19歳(n = 21 )　　</v>
      </c>
      <c r="B34" s="34">
        <f>'問9S（表）'!B36</f>
        <v>21</v>
      </c>
      <c r="C34" s="31">
        <v>5</v>
      </c>
      <c r="D34" s="32">
        <v>2</v>
      </c>
      <c r="E34" s="32">
        <v>3</v>
      </c>
      <c r="F34" s="32">
        <v>2</v>
      </c>
      <c r="G34" s="32">
        <v>2</v>
      </c>
      <c r="H34" s="32">
        <v>2</v>
      </c>
      <c r="I34" s="32">
        <v>0</v>
      </c>
      <c r="J34" s="32">
        <v>0</v>
      </c>
      <c r="K34" s="32">
        <v>1</v>
      </c>
      <c r="L34" s="32">
        <v>1</v>
      </c>
      <c r="M34" s="32">
        <v>0</v>
      </c>
      <c r="N34" s="32">
        <v>1</v>
      </c>
      <c r="O34" s="32">
        <v>0</v>
      </c>
      <c r="P34" s="32">
        <v>6</v>
      </c>
      <c r="Q34" s="32">
        <v>5</v>
      </c>
      <c r="R34" s="32">
        <v>1</v>
      </c>
      <c r="S34" s="32">
        <v>0</v>
      </c>
      <c r="T34" s="32">
        <v>1</v>
      </c>
      <c r="U34" s="32">
        <v>4</v>
      </c>
      <c r="V34" s="32">
        <v>3</v>
      </c>
      <c r="W34" s="32">
        <v>5</v>
      </c>
      <c r="X34" s="32">
        <v>2</v>
      </c>
      <c r="Y34" s="32">
        <v>4</v>
      </c>
      <c r="Z34" s="32">
        <v>1</v>
      </c>
      <c r="AA34" s="32">
        <v>2</v>
      </c>
      <c r="AB34" s="32">
        <v>2</v>
      </c>
      <c r="AC34" s="32">
        <v>2</v>
      </c>
      <c r="AD34" s="32">
        <v>2</v>
      </c>
      <c r="AE34" s="32">
        <v>5</v>
      </c>
      <c r="AF34" s="32">
        <v>1</v>
      </c>
      <c r="AG34" s="32">
        <v>2</v>
      </c>
      <c r="AH34" s="32">
        <v>1</v>
      </c>
      <c r="AI34" s="32">
        <v>0</v>
      </c>
      <c r="AJ34" s="32">
        <v>1</v>
      </c>
      <c r="AK34" s="32">
        <v>5</v>
      </c>
      <c r="AL34" s="32">
        <v>0</v>
      </c>
      <c r="AM34" s="33"/>
      <c r="AN34" s="5">
        <f>SUM(C34:AM34)</f>
        <v>74</v>
      </c>
      <c r="AO34" t="str">
        <f>" 18～19歳（ n = "&amp;B34&amp;"）"</f>
        <v xml:space="preserve"> 18～19歳（ n = 21）</v>
      </c>
      <c r="AQ34">
        <v>1</v>
      </c>
    </row>
    <row r="35" spans="1:43" x14ac:dyDescent="0.2">
      <c r="A35" s="270"/>
      <c r="B35" s="35">
        <f>'問9S（表）'!B37</f>
        <v>1.2995049504950495</v>
      </c>
      <c r="C35" s="20">
        <f t="shared" ref="C35:AL35" si="17">C34/$B$34*100</f>
        <v>23.809523809523807</v>
      </c>
      <c r="D35" s="207">
        <f t="shared" si="17"/>
        <v>9.5238095238095237</v>
      </c>
      <c r="E35" s="207">
        <f t="shared" si="17"/>
        <v>14.285714285714285</v>
      </c>
      <c r="F35" s="207">
        <f t="shared" si="17"/>
        <v>9.5238095238095237</v>
      </c>
      <c r="G35" s="207">
        <f t="shared" si="17"/>
        <v>9.5238095238095237</v>
      </c>
      <c r="H35" s="207">
        <f t="shared" si="17"/>
        <v>9.5238095238095237</v>
      </c>
      <c r="I35" s="207">
        <f t="shared" si="17"/>
        <v>0</v>
      </c>
      <c r="J35" s="207">
        <f t="shared" si="17"/>
        <v>0</v>
      </c>
      <c r="K35" s="207">
        <f t="shared" si="17"/>
        <v>4.7619047619047619</v>
      </c>
      <c r="L35" s="207">
        <f t="shared" si="17"/>
        <v>4.7619047619047619</v>
      </c>
      <c r="M35" s="207">
        <f t="shared" si="17"/>
        <v>0</v>
      </c>
      <c r="N35" s="207">
        <f t="shared" si="17"/>
        <v>4.7619047619047619</v>
      </c>
      <c r="O35" s="207">
        <f t="shared" si="17"/>
        <v>0</v>
      </c>
      <c r="P35" s="207">
        <f t="shared" si="17"/>
        <v>28.571428571428569</v>
      </c>
      <c r="Q35" s="207">
        <f t="shared" si="17"/>
        <v>23.809523809523807</v>
      </c>
      <c r="R35" s="207">
        <f t="shared" si="17"/>
        <v>4.7619047619047619</v>
      </c>
      <c r="S35" s="207">
        <f t="shared" si="17"/>
        <v>0</v>
      </c>
      <c r="T35" s="207">
        <f t="shared" si="17"/>
        <v>4.7619047619047619</v>
      </c>
      <c r="U35" s="207">
        <f t="shared" si="17"/>
        <v>19.047619047619047</v>
      </c>
      <c r="V35" s="207">
        <f t="shared" si="17"/>
        <v>14.285714285714285</v>
      </c>
      <c r="W35" s="207">
        <f t="shared" si="17"/>
        <v>23.809523809523807</v>
      </c>
      <c r="X35" s="207">
        <f t="shared" si="17"/>
        <v>9.5238095238095237</v>
      </c>
      <c r="Y35" s="207">
        <f t="shared" si="17"/>
        <v>19.047619047619047</v>
      </c>
      <c r="Z35" s="207">
        <f t="shared" si="17"/>
        <v>4.7619047619047619</v>
      </c>
      <c r="AA35" s="207">
        <f t="shared" si="17"/>
        <v>9.5238095238095237</v>
      </c>
      <c r="AB35" s="207">
        <f t="shared" si="17"/>
        <v>9.5238095238095237</v>
      </c>
      <c r="AC35" s="207">
        <f t="shared" si="17"/>
        <v>9.5238095238095237</v>
      </c>
      <c r="AD35" s="207">
        <f t="shared" si="17"/>
        <v>9.5238095238095237</v>
      </c>
      <c r="AE35" s="207">
        <f t="shared" si="17"/>
        <v>23.809523809523807</v>
      </c>
      <c r="AF35" s="207">
        <f t="shared" si="17"/>
        <v>4.7619047619047619</v>
      </c>
      <c r="AG35" s="207">
        <f t="shared" si="17"/>
        <v>9.5238095238095237</v>
      </c>
      <c r="AH35" s="207">
        <f t="shared" si="17"/>
        <v>4.7619047619047619</v>
      </c>
      <c r="AI35" s="207">
        <f t="shared" si="17"/>
        <v>0</v>
      </c>
      <c r="AJ35" s="207">
        <f t="shared" si="17"/>
        <v>4.7619047619047619</v>
      </c>
      <c r="AK35" s="207">
        <f t="shared" si="17"/>
        <v>23.809523809523807</v>
      </c>
      <c r="AL35" s="207">
        <f t="shared" si="17"/>
        <v>0</v>
      </c>
      <c r="AM35" s="208"/>
      <c r="AN35" s="195"/>
    </row>
    <row r="36" spans="1:43" x14ac:dyDescent="0.2">
      <c r="A36" s="269" t="str">
        <f>'問10-2M（表）'!A36</f>
        <v>20～29歳(n = 119 )　　</v>
      </c>
      <c r="B36" s="34">
        <f>'問9S（表）'!B38</f>
        <v>119</v>
      </c>
      <c r="C36" s="31">
        <v>27</v>
      </c>
      <c r="D36" s="32">
        <v>5</v>
      </c>
      <c r="E36" s="32">
        <v>3</v>
      </c>
      <c r="F36" s="32">
        <v>7</v>
      </c>
      <c r="G36" s="32">
        <v>10</v>
      </c>
      <c r="H36" s="32">
        <v>9</v>
      </c>
      <c r="I36" s="32">
        <v>2</v>
      </c>
      <c r="J36" s="32">
        <v>14</v>
      </c>
      <c r="K36" s="32">
        <v>5</v>
      </c>
      <c r="L36" s="32">
        <v>1</v>
      </c>
      <c r="M36" s="32">
        <v>1</v>
      </c>
      <c r="N36" s="32">
        <v>17</v>
      </c>
      <c r="O36" s="32">
        <v>12</v>
      </c>
      <c r="P36" s="32">
        <v>40</v>
      </c>
      <c r="Q36" s="32">
        <v>53</v>
      </c>
      <c r="R36" s="32">
        <v>10</v>
      </c>
      <c r="S36" s="32">
        <v>4</v>
      </c>
      <c r="T36" s="32">
        <v>5</v>
      </c>
      <c r="U36" s="32">
        <v>12</v>
      </c>
      <c r="V36" s="32">
        <v>26</v>
      </c>
      <c r="W36" s="32">
        <v>23</v>
      </c>
      <c r="X36" s="32">
        <v>5</v>
      </c>
      <c r="Y36" s="32">
        <v>11</v>
      </c>
      <c r="Z36" s="32">
        <v>3</v>
      </c>
      <c r="AA36" s="32">
        <v>1</v>
      </c>
      <c r="AB36" s="32">
        <v>13</v>
      </c>
      <c r="AC36" s="32">
        <v>6</v>
      </c>
      <c r="AD36" s="32">
        <v>1</v>
      </c>
      <c r="AE36" s="32">
        <v>25</v>
      </c>
      <c r="AF36" s="32">
        <v>7</v>
      </c>
      <c r="AG36" s="32">
        <v>22</v>
      </c>
      <c r="AH36" s="32">
        <v>4</v>
      </c>
      <c r="AI36" s="32">
        <v>4</v>
      </c>
      <c r="AJ36" s="32">
        <v>6</v>
      </c>
      <c r="AK36" s="32">
        <v>36</v>
      </c>
      <c r="AL36" s="32">
        <v>8</v>
      </c>
      <c r="AM36" s="33"/>
      <c r="AN36" s="5">
        <f>SUM(C36:AM36)</f>
        <v>438</v>
      </c>
      <c r="AO36" t="str">
        <f>" 20～29歳（ n = "&amp;B36&amp;"）"</f>
        <v xml:space="preserve"> 20～29歳（ n = 119）</v>
      </c>
      <c r="AQ36">
        <v>2</v>
      </c>
    </row>
    <row r="37" spans="1:43" x14ac:dyDescent="0.2">
      <c r="A37" s="270"/>
      <c r="B37" s="35">
        <f>'問9S（表）'!B39</f>
        <v>7.3638613861386135</v>
      </c>
      <c r="C37" s="20">
        <f t="shared" ref="C37:AL37" si="18">C36/$B$36*100</f>
        <v>22.689075630252102</v>
      </c>
      <c r="D37" s="207">
        <f t="shared" si="18"/>
        <v>4.2016806722689077</v>
      </c>
      <c r="E37" s="207">
        <f t="shared" si="18"/>
        <v>2.5210084033613445</v>
      </c>
      <c r="F37" s="207">
        <f t="shared" si="18"/>
        <v>5.8823529411764701</v>
      </c>
      <c r="G37" s="207">
        <f t="shared" si="18"/>
        <v>8.4033613445378155</v>
      </c>
      <c r="H37" s="207">
        <f t="shared" si="18"/>
        <v>7.5630252100840334</v>
      </c>
      <c r="I37" s="207">
        <f t="shared" si="18"/>
        <v>1.680672268907563</v>
      </c>
      <c r="J37" s="207">
        <f t="shared" si="18"/>
        <v>11.76470588235294</v>
      </c>
      <c r="K37" s="207">
        <f t="shared" si="18"/>
        <v>4.2016806722689077</v>
      </c>
      <c r="L37" s="207">
        <f t="shared" si="18"/>
        <v>0.84033613445378152</v>
      </c>
      <c r="M37" s="207">
        <f t="shared" si="18"/>
        <v>0.84033613445378152</v>
      </c>
      <c r="N37" s="207">
        <f t="shared" si="18"/>
        <v>14.285714285714285</v>
      </c>
      <c r="O37" s="207">
        <f t="shared" si="18"/>
        <v>10.084033613445378</v>
      </c>
      <c r="P37" s="207">
        <f t="shared" si="18"/>
        <v>33.613445378151262</v>
      </c>
      <c r="Q37" s="207">
        <f t="shared" si="18"/>
        <v>44.537815126050425</v>
      </c>
      <c r="R37" s="207">
        <f t="shared" si="18"/>
        <v>8.4033613445378155</v>
      </c>
      <c r="S37" s="207">
        <f t="shared" si="18"/>
        <v>3.3613445378151261</v>
      </c>
      <c r="T37" s="207">
        <f t="shared" si="18"/>
        <v>4.2016806722689077</v>
      </c>
      <c r="U37" s="207">
        <f t="shared" si="18"/>
        <v>10.084033613445378</v>
      </c>
      <c r="V37" s="207">
        <f t="shared" si="18"/>
        <v>21.84873949579832</v>
      </c>
      <c r="W37" s="207">
        <f t="shared" si="18"/>
        <v>19.327731092436977</v>
      </c>
      <c r="X37" s="207">
        <f t="shared" si="18"/>
        <v>4.2016806722689077</v>
      </c>
      <c r="Y37" s="207">
        <f t="shared" si="18"/>
        <v>9.2436974789915975</v>
      </c>
      <c r="Z37" s="207">
        <f t="shared" si="18"/>
        <v>2.5210084033613445</v>
      </c>
      <c r="AA37" s="207">
        <f t="shared" si="18"/>
        <v>0.84033613445378152</v>
      </c>
      <c r="AB37" s="207">
        <f t="shared" si="18"/>
        <v>10.92436974789916</v>
      </c>
      <c r="AC37" s="207">
        <f t="shared" si="18"/>
        <v>5.0420168067226889</v>
      </c>
      <c r="AD37" s="207">
        <f t="shared" si="18"/>
        <v>0.84033613445378152</v>
      </c>
      <c r="AE37" s="207">
        <f t="shared" si="18"/>
        <v>21.008403361344538</v>
      </c>
      <c r="AF37" s="207">
        <f t="shared" si="18"/>
        <v>5.8823529411764701</v>
      </c>
      <c r="AG37" s="207">
        <f t="shared" si="18"/>
        <v>18.487394957983195</v>
      </c>
      <c r="AH37" s="207">
        <f t="shared" si="18"/>
        <v>3.3613445378151261</v>
      </c>
      <c r="AI37" s="207">
        <f t="shared" si="18"/>
        <v>3.3613445378151261</v>
      </c>
      <c r="AJ37" s="207">
        <f t="shared" si="18"/>
        <v>5.0420168067226889</v>
      </c>
      <c r="AK37" s="207">
        <f t="shared" si="18"/>
        <v>30.252100840336134</v>
      </c>
      <c r="AL37" s="207">
        <f t="shared" si="18"/>
        <v>6.7226890756302522</v>
      </c>
      <c r="AM37" s="208"/>
      <c r="AN37" s="195"/>
    </row>
    <row r="38" spans="1:43" x14ac:dyDescent="0.2">
      <c r="A38" s="269" t="str">
        <f>'問10-2M（表）'!A38</f>
        <v>30～39歳(n = 196 )　　</v>
      </c>
      <c r="B38" s="34">
        <f>'問9S（表）'!B40</f>
        <v>196</v>
      </c>
      <c r="C38" s="31">
        <v>47</v>
      </c>
      <c r="D38" s="32">
        <v>15</v>
      </c>
      <c r="E38" s="32">
        <v>11</v>
      </c>
      <c r="F38" s="32">
        <v>12</v>
      </c>
      <c r="G38" s="32">
        <v>22</v>
      </c>
      <c r="H38" s="32">
        <v>20</v>
      </c>
      <c r="I38" s="32">
        <v>10</v>
      </c>
      <c r="J38" s="32">
        <v>41</v>
      </c>
      <c r="K38" s="32">
        <v>8</v>
      </c>
      <c r="L38" s="32">
        <v>4</v>
      </c>
      <c r="M38" s="32">
        <v>1</v>
      </c>
      <c r="N38" s="32">
        <v>35</v>
      </c>
      <c r="O38" s="32">
        <v>21</v>
      </c>
      <c r="P38" s="32">
        <v>76</v>
      </c>
      <c r="Q38" s="32">
        <v>98</v>
      </c>
      <c r="R38" s="32">
        <v>29</v>
      </c>
      <c r="S38" s="32">
        <v>23</v>
      </c>
      <c r="T38" s="32">
        <v>7</v>
      </c>
      <c r="U38" s="32">
        <v>27</v>
      </c>
      <c r="V38" s="32">
        <v>34</v>
      </c>
      <c r="W38" s="32">
        <v>34</v>
      </c>
      <c r="X38" s="32">
        <v>15</v>
      </c>
      <c r="Y38" s="32">
        <v>22</v>
      </c>
      <c r="Z38" s="32">
        <v>5</v>
      </c>
      <c r="AA38" s="32">
        <v>4</v>
      </c>
      <c r="AB38" s="32">
        <v>19</v>
      </c>
      <c r="AC38" s="32">
        <v>11</v>
      </c>
      <c r="AD38" s="32">
        <v>7</v>
      </c>
      <c r="AE38" s="32">
        <v>24</v>
      </c>
      <c r="AF38" s="32">
        <v>18</v>
      </c>
      <c r="AG38" s="32">
        <v>46</v>
      </c>
      <c r="AH38" s="32">
        <v>9</v>
      </c>
      <c r="AI38" s="32">
        <v>4</v>
      </c>
      <c r="AJ38" s="32">
        <v>11</v>
      </c>
      <c r="AK38" s="32">
        <v>42</v>
      </c>
      <c r="AL38" s="32">
        <v>14</v>
      </c>
      <c r="AM38" s="33"/>
      <c r="AN38" s="5">
        <f>SUM(C38:AM38)</f>
        <v>826</v>
      </c>
      <c r="AO38" t="str">
        <f>" 30～39歳（ n = "&amp;B38&amp;"）"</f>
        <v xml:space="preserve"> 30～39歳（ n = 196）</v>
      </c>
      <c r="AQ38">
        <v>3</v>
      </c>
    </row>
    <row r="39" spans="1:43" x14ac:dyDescent="0.2">
      <c r="A39" s="270"/>
      <c r="B39" s="35">
        <f>'問9S（表）'!B41</f>
        <v>12.128712871287128</v>
      </c>
      <c r="C39" s="20">
        <f t="shared" ref="C39:AL39" si="19">C38/$B$38*100</f>
        <v>23.979591836734691</v>
      </c>
      <c r="D39" s="207">
        <f t="shared" si="19"/>
        <v>7.6530612244897958</v>
      </c>
      <c r="E39" s="207">
        <f t="shared" si="19"/>
        <v>5.6122448979591839</v>
      </c>
      <c r="F39" s="207">
        <f t="shared" si="19"/>
        <v>6.1224489795918364</v>
      </c>
      <c r="G39" s="207">
        <f t="shared" si="19"/>
        <v>11.224489795918368</v>
      </c>
      <c r="H39" s="207">
        <f t="shared" si="19"/>
        <v>10.204081632653061</v>
      </c>
      <c r="I39" s="207">
        <f t="shared" si="19"/>
        <v>5.1020408163265305</v>
      </c>
      <c r="J39" s="207">
        <f t="shared" si="19"/>
        <v>20.918367346938776</v>
      </c>
      <c r="K39" s="207">
        <f t="shared" si="19"/>
        <v>4.0816326530612246</v>
      </c>
      <c r="L39" s="207">
        <f t="shared" si="19"/>
        <v>2.0408163265306123</v>
      </c>
      <c r="M39" s="207">
        <f t="shared" si="19"/>
        <v>0.51020408163265307</v>
      </c>
      <c r="N39" s="207">
        <f t="shared" si="19"/>
        <v>17.857142857142858</v>
      </c>
      <c r="O39" s="207">
        <f t="shared" si="19"/>
        <v>10.714285714285714</v>
      </c>
      <c r="P39" s="207">
        <f t="shared" si="19"/>
        <v>38.775510204081634</v>
      </c>
      <c r="Q39" s="207">
        <f t="shared" si="19"/>
        <v>50</v>
      </c>
      <c r="R39" s="207">
        <f t="shared" si="19"/>
        <v>14.795918367346939</v>
      </c>
      <c r="S39" s="207">
        <f t="shared" si="19"/>
        <v>11.73469387755102</v>
      </c>
      <c r="T39" s="207">
        <f t="shared" si="19"/>
        <v>3.5714285714285712</v>
      </c>
      <c r="U39" s="207">
        <f t="shared" si="19"/>
        <v>13.77551020408163</v>
      </c>
      <c r="V39" s="207">
        <f t="shared" si="19"/>
        <v>17.346938775510203</v>
      </c>
      <c r="W39" s="207">
        <f t="shared" si="19"/>
        <v>17.346938775510203</v>
      </c>
      <c r="X39" s="207">
        <f t="shared" si="19"/>
        <v>7.6530612244897958</v>
      </c>
      <c r="Y39" s="207">
        <f t="shared" si="19"/>
        <v>11.224489795918368</v>
      </c>
      <c r="Z39" s="207">
        <f t="shared" si="19"/>
        <v>2.5510204081632653</v>
      </c>
      <c r="AA39" s="207">
        <f t="shared" si="19"/>
        <v>2.0408163265306123</v>
      </c>
      <c r="AB39" s="207">
        <f t="shared" si="19"/>
        <v>9.6938775510204085</v>
      </c>
      <c r="AC39" s="207">
        <f t="shared" si="19"/>
        <v>5.6122448979591839</v>
      </c>
      <c r="AD39" s="207">
        <f t="shared" si="19"/>
        <v>3.5714285714285712</v>
      </c>
      <c r="AE39" s="207">
        <f t="shared" si="19"/>
        <v>12.244897959183673</v>
      </c>
      <c r="AF39" s="207">
        <f t="shared" si="19"/>
        <v>9.183673469387756</v>
      </c>
      <c r="AG39" s="207">
        <f t="shared" si="19"/>
        <v>23.469387755102041</v>
      </c>
      <c r="AH39" s="207">
        <f t="shared" si="19"/>
        <v>4.591836734693878</v>
      </c>
      <c r="AI39" s="207">
        <f t="shared" si="19"/>
        <v>2.0408163265306123</v>
      </c>
      <c r="AJ39" s="207">
        <f t="shared" si="19"/>
        <v>5.6122448979591839</v>
      </c>
      <c r="AK39" s="207">
        <f t="shared" si="19"/>
        <v>21.428571428571427</v>
      </c>
      <c r="AL39" s="207">
        <f t="shared" si="19"/>
        <v>7.1428571428571423</v>
      </c>
      <c r="AM39" s="208"/>
      <c r="AN39" s="195"/>
    </row>
    <row r="40" spans="1:43" x14ac:dyDescent="0.2">
      <c r="A40" s="269" t="str">
        <f>'問10-2M（表）'!A40</f>
        <v>40～49歳(n = 281 )　　</v>
      </c>
      <c r="B40" s="34">
        <f>'問9S（表）'!B42</f>
        <v>281</v>
      </c>
      <c r="C40" s="31">
        <v>81</v>
      </c>
      <c r="D40" s="32">
        <v>27</v>
      </c>
      <c r="E40" s="32">
        <v>9</v>
      </c>
      <c r="F40" s="32">
        <v>23</v>
      </c>
      <c r="G40" s="32">
        <v>43</v>
      </c>
      <c r="H40" s="32">
        <v>30</v>
      </c>
      <c r="I40" s="32">
        <v>6</v>
      </c>
      <c r="J40" s="32">
        <v>72</v>
      </c>
      <c r="K40" s="32">
        <v>13</v>
      </c>
      <c r="L40" s="32">
        <v>9</v>
      </c>
      <c r="M40" s="32">
        <v>2</v>
      </c>
      <c r="N40" s="32">
        <v>82</v>
      </c>
      <c r="O40" s="32">
        <v>31</v>
      </c>
      <c r="P40" s="32">
        <v>72</v>
      </c>
      <c r="Q40" s="32">
        <v>115</v>
      </c>
      <c r="R40" s="32">
        <v>44</v>
      </c>
      <c r="S40" s="32">
        <v>28</v>
      </c>
      <c r="T40" s="32">
        <v>19</v>
      </c>
      <c r="U40" s="32">
        <v>27</v>
      </c>
      <c r="V40" s="32">
        <v>46</v>
      </c>
      <c r="W40" s="32">
        <v>44</v>
      </c>
      <c r="X40" s="32">
        <v>19</v>
      </c>
      <c r="Y40" s="32">
        <v>24</v>
      </c>
      <c r="Z40" s="32">
        <v>12</v>
      </c>
      <c r="AA40" s="32">
        <v>4</v>
      </c>
      <c r="AB40" s="32">
        <v>27</v>
      </c>
      <c r="AC40" s="32">
        <v>21</v>
      </c>
      <c r="AD40" s="32">
        <v>11</v>
      </c>
      <c r="AE40" s="32">
        <v>56</v>
      </c>
      <c r="AF40" s="32">
        <v>19</v>
      </c>
      <c r="AG40" s="32">
        <v>59</v>
      </c>
      <c r="AH40" s="32">
        <v>8</v>
      </c>
      <c r="AI40" s="32">
        <v>11</v>
      </c>
      <c r="AJ40" s="32">
        <v>11</v>
      </c>
      <c r="AK40" s="32">
        <v>51</v>
      </c>
      <c r="AL40" s="32">
        <v>19</v>
      </c>
      <c r="AM40" s="33"/>
      <c r="AN40" s="5">
        <f>SUM(C40:AM40)</f>
        <v>1175</v>
      </c>
      <c r="AO40" t="str">
        <f>" 40～49歳（ n = "&amp;B40&amp;"）"</f>
        <v xml:space="preserve"> 40～49歳（ n = 281）</v>
      </c>
      <c r="AQ40">
        <v>4</v>
      </c>
    </row>
    <row r="41" spans="1:43" x14ac:dyDescent="0.2">
      <c r="A41" s="270"/>
      <c r="B41" s="35">
        <f>'問9S（表）'!B43</f>
        <v>17.388613861386137</v>
      </c>
      <c r="C41" s="20">
        <f t="shared" ref="C41:AL41" si="20">C40/$B$40*100</f>
        <v>28.825622775800714</v>
      </c>
      <c r="D41" s="207">
        <f t="shared" si="20"/>
        <v>9.6085409252669027</v>
      </c>
      <c r="E41" s="207">
        <f t="shared" si="20"/>
        <v>3.2028469750889679</v>
      </c>
      <c r="F41" s="207">
        <f t="shared" si="20"/>
        <v>8.185053380782918</v>
      </c>
      <c r="G41" s="207">
        <f t="shared" si="20"/>
        <v>15.302491103202847</v>
      </c>
      <c r="H41" s="207">
        <f t="shared" si="20"/>
        <v>10.676156583629894</v>
      </c>
      <c r="I41" s="207">
        <f t="shared" si="20"/>
        <v>2.1352313167259789</v>
      </c>
      <c r="J41" s="207">
        <f t="shared" si="20"/>
        <v>25.622775800711743</v>
      </c>
      <c r="K41" s="207">
        <f t="shared" si="20"/>
        <v>4.6263345195729535</v>
      </c>
      <c r="L41" s="207">
        <f t="shared" si="20"/>
        <v>3.2028469750889679</v>
      </c>
      <c r="M41" s="207">
        <f t="shared" si="20"/>
        <v>0.71174377224199281</v>
      </c>
      <c r="N41" s="207">
        <f t="shared" si="20"/>
        <v>29.181494661921707</v>
      </c>
      <c r="O41" s="207">
        <f t="shared" si="20"/>
        <v>11.032028469750891</v>
      </c>
      <c r="P41" s="207">
        <f t="shared" si="20"/>
        <v>25.622775800711743</v>
      </c>
      <c r="Q41" s="207">
        <f t="shared" si="20"/>
        <v>40.92526690391459</v>
      </c>
      <c r="R41" s="207">
        <f t="shared" si="20"/>
        <v>15.658362989323843</v>
      </c>
      <c r="S41" s="207">
        <f t="shared" si="20"/>
        <v>9.9644128113879002</v>
      </c>
      <c r="T41" s="207">
        <f t="shared" si="20"/>
        <v>6.7615658362989333</v>
      </c>
      <c r="U41" s="207">
        <f t="shared" si="20"/>
        <v>9.6085409252669027</v>
      </c>
      <c r="V41" s="207">
        <f t="shared" si="20"/>
        <v>16.370106761565836</v>
      </c>
      <c r="W41" s="207">
        <f t="shared" si="20"/>
        <v>15.658362989323843</v>
      </c>
      <c r="X41" s="207">
        <f t="shared" si="20"/>
        <v>6.7615658362989333</v>
      </c>
      <c r="Y41" s="207">
        <f t="shared" si="20"/>
        <v>8.5409252669039155</v>
      </c>
      <c r="Z41" s="207">
        <f t="shared" si="20"/>
        <v>4.2704626334519578</v>
      </c>
      <c r="AA41" s="207">
        <f t="shared" si="20"/>
        <v>1.4234875444839856</v>
      </c>
      <c r="AB41" s="207">
        <f t="shared" si="20"/>
        <v>9.6085409252669027</v>
      </c>
      <c r="AC41" s="207">
        <f t="shared" si="20"/>
        <v>7.4733096085409247</v>
      </c>
      <c r="AD41" s="207">
        <f t="shared" si="20"/>
        <v>3.9145907473309607</v>
      </c>
      <c r="AE41" s="207">
        <f t="shared" si="20"/>
        <v>19.9288256227758</v>
      </c>
      <c r="AF41" s="207">
        <f t="shared" si="20"/>
        <v>6.7615658362989333</v>
      </c>
      <c r="AG41" s="207">
        <f t="shared" si="20"/>
        <v>20.996441281138789</v>
      </c>
      <c r="AH41" s="207">
        <f t="shared" si="20"/>
        <v>2.8469750889679712</v>
      </c>
      <c r="AI41" s="207">
        <f t="shared" si="20"/>
        <v>3.9145907473309607</v>
      </c>
      <c r="AJ41" s="207">
        <f t="shared" si="20"/>
        <v>3.9145907473309607</v>
      </c>
      <c r="AK41" s="207">
        <f t="shared" si="20"/>
        <v>18.14946619217082</v>
      </c>
      <c r="AL41" s="207">
        <f t="shared" si="20"/>
        <v>6.7615658362989333</v>
      </c>
      <c r="AM41" s="208"/>
      <c r="AN41" s="195"/>
    </row>
    <row r="42" spans="1:43" x14ac:dyDescent="0.2">
      <c r="A42" s="269" t="str">
        <f>'問10-2M（表）'!A42</f>
        <v>50～59歳(n = 320 )　　</v>
      </c>
      <c r="B42" s="34">
        <f>'問9S（表）'!B44</f>
        <v>320</v>
      </c>
      <c r="C42" s="31">
        <v>108</v>
      </c>
      <c r="D42" s="32">
        <v>29</v>
      </c>
      <c r="E42" s="32">
        <v>19</v>
      </c>
      <c r="F42" s="32">
        <v>35</v>
      </c>
      <c r="G42" s="32">
        <v>39</v>
      </c>
      <c r="H42" s="32">
        <v>46</v>
      </c>
      <c r="I42" s="32">
        <v>26</v>
      </c>
      <c r="J42" s="32">
        <v>83</v>
      </c>
      <c r="K42" s="32">
        <v>17</v>
      </c>
      <c r="L42" s="32">
        <v>11</v>
      </c>
      <c r="M42" s="32">
        <v>3</v>
      </c>
      <c r="N42" s="32">
        <v>93</v>
      </c>
      <c r="O42" s="32">
        <v>31</v>
      </c>
      <c r="P42" s="32">
        <v>62</v>
      </c>
      <c r="Q42" s="32">
        <v>59</v>
      </c>
      <c r="R42" s="32">
        <v>33</v>
      </c>
      <c r="S42" s="32">
        <v>36</v>
      </c>
      <c r="T42" s="32">
        <v>19</v>
      </c>
      <c r="U42" s="32">
        <v>39</v>
      </c>
      <c r="V42" s="32">
        <v>47</v>
      </c>
      <c r="W42" s="32">
        <v>35</v>
      </c>
      <c r="X42" s="32">
        <v>24</v>
      </c>
      <c r="Y42" s="32">
        <v>19</v>
      </c>
      <c r="Z42" s="32">
        <v>17</v>
      </c>
      <c r="AA42" s="32">
        <v>11</v>
      </c>
      <c r="AB42" s="32">
        <v>43</v>
      </c>
      <c r="AC42" s="32">
        <v>26</v>
      </c>
      <c r="AD42" s="32">
        <v>18</v>
      </c>
      <c r="AE42" s="32">
        <v>60</v>
      </c>
      <c r="AF42" s="32">
        <v>18</v>
      </c>
      <c r="AG42" s="32">
        <v>39</v>
      </c>
      <c r="AH42" s="32">
        <v>6</v>
      </c>
      <c r="AI42" s="32">
        <v>13</v>
      </c>
      <c r="AJ42" s="32">
        <v>15</v>
      </c>
      <c r="AK42" s="32">
        <v>60</v>
      </c>
      <c r="AL42" s="32">
        <v>31</v>
      </c>
      <c r="AM42" s="33"/>
      <c r="AN42" s="5">
        <f>SUM(C42:AM42)</f>
        <v>1270</v>
      </c>
      <c r="AO42" t="str">
        <f>" 50～59歳（ n = "&amp;B42&amp;"）"</f>
        <v xml:space="preserve"> 50～59歳（ n = 320）</v>
      </c>
      <c r="AQ42">
        <v>5</v>
      </c>
    </row>
    <row r="43" spans="1:43" x14ac:dyDescent="0.2">
      <c r="A43" s="270"/>
      <c r="B43" s="35">
        <f>'問9S（表）'!B45</f>
        <v>19.801980198019802</v>
      </c>
      <c r="C43" s="20">
        <f t="shared" ref="C43:AL43" si="21">C42/$B$42*100</f>
        <v>33.75</v>
      </c>
      <c r="D43" s="207">
        <f t="shared" si="21"/>
        <v>9.0625</v>
      </c>
      <c r="E43" s="207">
        <f t="shared" si="21"/>
        <v>5.9375</v>
      </c>
      <c r="F43" s="207">
        <f t="shared" si="21"/>
        <v>10.9375</v>
      </c>
      <c r="G43" s="207">
        <f t="shared" si="21"/>
        <v>12.1875</v>
      </c>
      <c r="H43" s="207">
        <f t="shared" si="21"/>
        <v>14.374999999999998</v>
      </c>
      <c r="I43" s="207">
        <f t="shared" si="21"/>
        <v>8.125</v>
      </c>
      <c r="J43" s="207">
        <f t="shared" si="21"/>
        <v>25.937500000000004</v>
      </c>
      <c r="K43" s="207">
        <f t="shared" si="21"/>
        <v>5.3125</v>
      </c>
      <c r="L43" s="207">
        <f t="shared" si="21"/>
        <v>3.4375000000000004</v>
      </c>
      <c r="M43" s="207">
        <f t="shared" si="21"/>
        <v>0.9375</v>
      </c>
      <c r="N43" s="207">
        <f t="shared" si="21"/>
        <v>29.062500000000004</v>
      </c>
      <c r="O43" s="207">
        <f t="shared" si="21"/>
        <v>9.6875</v>
      </c>
      <c r="P43" s="207">
        <f t="shared" si="21"/>
        <v>19.375</v>
      </c>
      <c r="Q43" s="207">
        <f t="shared" si="21"/>
        <v>18.4375</v>
      </c>
      <c r="R43" s="207">
        <f t="shared" si="21"/>
        <v>10.3125</v>
      </c>
      <c r="S43" s="207">
        <f t="shared" si="21"/>
        <v>11.25</v>
      </c>
      <c r="T43" s="207">
        <f t="shared" si="21"/>
        <v>5.9375</v>
      </c>
      <c r="U43" s="207">
        <f t="shared" si="21"/>
        <v>12.1875</v>
      </c>
      <c r="V43" s="207">
        <f t="shared" si="21"/>
        <v>14.6875</v>
      </c>
      <c r="W43" s="207">
        <f t="shared" si="21"/>
        <v>10.9375</v>
      </c>
      <c r="X43" s="207">
        <f t="shared" si="21"/>
        <v>7.5</v>
      </c>
      <c r="Y43" s="207">
        <f t="shared" si="21"/>
        <v>5.9375</v>
      </c>
      <c r="Z43" s="207">
        <f t="shared" si="21"/>
        <v>5.3125</v>
      </c>
      <c r="AA43" s="207">
        <f t="shared" si="21"/>
        <v>3.4375000000000004</v>
      </c>
      <c r="AB43" s="207">
        <f t="shared" si="21"/>
        <v>13.4375</v>
      </c>
      <c r="AC43" s="207">
        <f t="shared" si="21"/>
        <v>8.125</v>
      </c>
      <c r="AD43" s="207">
        <f t="shared" si="21"/>
        <v>5.625</v>
      </c>
      <c r="AE43" s="207">
        <f t="shared" si="21"/>
        <v>18.75</v>
      </c>
      <c r="AF43" s="207">
        <f t="shared" si="21"/>
        <v>5.625</v>
      </c>
      <c r="AG43" s="207">
        <f t="shared" si="21"/>
        <v>12.1875</v>
      </c>
      <c r="AH43" s="207">
        <f t="shared" si="21"/>
        <v>1.875</v>
      </c>
      <c r="AI43" s="207">
        <f t="shared" si="21"/>
        <v>4.0625</v>
      </c>
      <c r="AJ43" s="207">
        <f t="shared" si="21"/>
        <v>4.6875</v>
      </c>
      <c r="AK43" s="207">
        <f t="shared" si="21"/>
        <v>18.75</v>
      </c>
      <c r="AL43" s="207">
        <f t="shared" si="21"/>
        <v>9.6875</v>
      </c>
      <c r="AM43" s="208"/>
      <c r="AN43" s="195"/>
    </row>
    <row r="44" spans="1:43" x14ac:dyDescent="0.2">
      <c r="A44" s="269" t="str">
        <f>'問10-2M（表）'!A44</f>
        <v>60～69歳(n = 352 )　　</v>
      </c>
      <c r="B44" s="34">
        <f>'問9S（表）'!B46</f>
        <v>352</v>
      </c>
      <c r="C44" s="31">
        <v>122</v>
      </c>
      <c r="D44" s="32">
        <v>45</v>
      </c>
      <c r="E44" s="32">
        <v>24</v>
      </c>
      <c r="F44" s="32">
        <v>44</v>
      </c>
      <c r="G44" s="32">
        <v>45</v>
      </c>
      <c r="H44" s="32">
        <v>45</v>
      </c>
      <c r="I44" s="32">
        <v>25</v>
      </c>
      <c r="J44" s="32">
        <v>92</v>
      </c>
      <c r="K44" s="32">
        <v>20</v>
      </c>
      <c r="L44" s="32">
        <v>10</v>
      </c>
      <c r="M44" s="32">
        <v>2</v>
      </c>
      <c r="N44" s="32">
        <v>143</v>
      </c>
      <c r="O44" s="32">
        <v>29</v>
      </c>
      <c r="P44" s="32">
        <v>70</v>
      </c>
      <c r="Q44" s="32">
        <v>64</v>
      </c>
      <c r="R44" s="32">
        <v>35</v>
      </c>
      <c r="S44" s="32">
        <v>36</v>
      </c>
      <c r="T44" s="32">
        <v>13</v>
      </c>
      <c r="U44" s="32">
        <v>29</v>
      </c>
      <c r="V44" s="32">
        <v>39</v>
      </c>
      <c r="W44" s="32">
        <v>30</v>
      </c>
      <c r="X44" s="32">
        <v>30</v>
      </c>
      <c r="Y44" s="32">
        <v>30</v>
      </c>
      <c r="Z44" s="32">
        <v>28</v>
      </c>
      <c r="AA44" s="32">
        <v>13</v>
      </c>
      <c r="AB44" s="32">
        <v>52</v>
      </c>
      <c r="AC44" s="32">
        <v>31</v>
      </c>
      <c r="AD44" s="32">
        <v>25</v>
      </c>
      <c r="AE44" s="32">
        <v>66</v>
      </c>
      <c r="AF44" s="32">
        <v>16</v>
      </c>
      <c r="AG44" s="32">
        <v>34</v>
      </c>
      <c r="AH44" s="32">
        <v>11</v>
      </c>
      <c r="AI44" s="32">
        <v>15</v>
      </c>
      <c r="AJ44" s="32">
        <v>16</v>
      </c>
      <c r="AK44" s="32">
        <v>62</v>
      </c>
      <c r="AL44" s="32">
        <v>36</v>
      </c>
      <c r="AM44" s="33"/>
      <c r="AN44" s="5">
        <f>SUM(C44:AM44)</f>
        <v>1427</v>
      </c>
      <c r="AO44" t="str">
        <f>" 60～69歳（ n = "&amp;B44&amp;"）"</f>
        <v xml:space="preserve"> 60～69歳（ n = 352）</v>
      </c>
      <c r="AQ44">
        <v>6</v>
      </c>
    </row>
    <row r="45" spans="1:43" x14ac:dyDescent="0.2">
      <c r="A45" s="270"/>
      <c r="B45" s="35">
        <f>'問9S（表）'!B47</f>
        <v>21.782178217821784</v>
      </c>
      <c r="C45" s="20">
        <f t="shared" ref="C45:AL45" si="22">C44/$B$44*100</f>
        <v>34.659090909090914</v>
      </c>
      <c r="D45" s="207">
        <f t="shared" si="22"/>
        <v>12.784090909090908</v>
      </c>
      <c r="E45" s="207">
        <f t="shared" si="22"/>
        <v>6.8181818181818175</v>
      </c>
      <c r="F45" s="207">
        <f t="shared" si="22"/>
        <v>12.5</v>
      </c>
      <c r="G45" s="207">
        <f t="shared" si="22"/>
        <v>12.784090909090908</v>
      </c>
      <c r="H45" s="207">
        <f t="shared" si="22"/>
        <v>12.784090909090908</v>
      </c>
      <c r="I45" s="207">
        <f t="shared" si="22"/>
        <v>7.1022727272727275</v>
      </c>
      <c r="J45" s="207">
        <f t="shared" si="22"/>
        <v>26.136363636363637</v>
      </c>
      <c r="K45" s="207">
        <f t="shared" si="22"/>
        <v>5.6818181818181817</v>
      </c>
      <c r="L45" s="207">
        <f t="shared" si="22"/>
        <v>2.8409090909090908</v>
      </c>
      <c r="M45" s="207">
        <f t="shared" si="22"/>
        <v>0.56818181818181823</v>
      </c>
      <c r="N45" s="207">
        <f t="shared" si="22"/>
        <v>40.625</v>
      </c>
      <c r="O45" s="207">
        <f t="shared" si="22"/>
        <v>8.2386363636363633</v>
      </c>
      <c r="P45" s="207">
        <f t="shared" si="22"/>
        <v>19.886363636363637</v>
      </c>
      <c r="Q45" s="207">
        <f t="shared" si="22"/>
        <v>18.181818181818183</v>
      </c>
      <c r="R45" s="207">
        <f t="shared" si="22"/>
        <v>9.9431818181818183</v>
      </c>
      <c r="S45" s="207">
        <f t="shared" si="22"/>
        <v>10.227272727272728</v>
      </c>
      <c r="T45" s="207">
        <f t="shared" si="22"/>
        <v>3.6931818181818183</v>
      </c>
      <c r="U45" s="207">
        <f t="shared" si="22"/>
        <v>8.2386363636363633</v>
      </c>
      <c r="V45" s="207">
        <f t="shared" si="22"/>
        <v>11.079545454545455</v>
      </c>
      <c r="W45" s="207">
        <f t="shared" si="22"/>
        <v>8.5227272727272716</v>
      </c>
      <c r="X45" s="207">
        <f t="shared" si="22"/>
        <v>8.5227272727272716</v>
      </c>
      <c r="Y45" s="207">
        <f t="shared" si="22"/>
        <v>8.5227272727272716</v>
      </c>
      <c r="Z45" s="207">
        <f t="shared" si="22"/>
        <v>7.9545454545454541</v>
      </c>
      <c r="AA45" s="207">
        <f t="shared" si="22"/>
        <v>3.6931818181818183</v>
      </c>
      <c r="AB45" s="207">
        <f t="shared" si="22"/>
        <v>14.772727272727273</v>
      </c>
      <c r="AC45" s="207">
        <f t="shared" si="22"/>
        <v>8.8068181818181817</v>
      </c>
      <c r="AD45" s="207">
        <f t="shared" si="22"/>
        <v>7.1022727272727275</v>
      </c>
      <c r="AE45" s="207">
        <f t="shared" si="22"/>
        <v>18.75</v>
      </c>
      <c r="AF45" s="207">
        <f t="shared" si="22"/>
        <v>4.5454545454545459</v>
      </c>
      <c r="AG45" s="207">
        <f t="shared" si="22"/>
        <v>9.6590909090909083</v>
      </c>
      <c r="AH45" s="207">
        <f t="shared" si="22"/>
        <v>3.125</v>
      </c>
      <c r="AI45" s="207">
        <f t="shared" si="22"/>
        <v>4.2613636363636358</v>
      </c>
      <c r="AJ45" s="207">
        <f t="shared" si="22"/>
        <v>4.5454545454545459</v>
      </c>
      <c r="AK45" s="207">
        <f t="shared" si="22"/>
        <v>17.613636363636363</v>
      </c>
      <c r="AL45" s="207">
        <f t="shared" si="22"/>
        <v>10.227272727272728</v>
      </c>
      <c r="AM45" s="208"/>
      <c r="AN45" s="195"/>
    </row>
    <row r="46" spans="1:43" x14ac:dyDescent="0.2">
      <c r="A46" s="269" t="str">
        <f>'問10-2M（表）'!A46</f>
        <v>70歳以上(n = 315 )　　</v>
      </c>
      <c r="B46" s="34">
        <f>'問9S（表）'!B48</f>
        <v>315</v>
      </c>
      <c r="C46" s="31">
        <v>110</v>
      </c>
      <c r="D46" s="32">
        <v>37</v>
      </c>
      <c r="E46" s="32">
        <v>15</v>
      </c>
      <c r="F46" s="32">
        <v>41</v>
      </c>
      <c r="G46" s="32">
        <v>46</v>
      </c>
      <c r="H46" s="32">
        <v>55</v>
      </c>
      <c r="I46" s="32">
        <v>18</v>
      </c>
      <c r="J46" s="32">
        <v>90</v>
      </c>
      <c r="K46" s="32">
        <v>20</v>
      </c>
      <c r="L46" s="32">
        <v>23</v>
      </c>
      <c r="M46" s="32">
        <v>5</v>
      </c>
      <c r="N46" s="32">
        <v>127</v>
      </c>
      <c r="O46" s="32">
        <v>21</v>
      </c>
      <c r="P46" s="32">
        <v>59</v>
      </c>
      <c r="Q46" s="32">
        <v>43</v>
      </c>
      <c r="R46" s="32">
        <v>26</v>
      </c>
      <c r="S46" s="32">
        <v>28</v>
      </c>
      <c r="T46" s="32">
        <v>15</v>
      </c>
      <c r="U46" s="32">
        <v>23</v>
      </c>
      <c r="V46" s="32">
        <v>26</v>
      </c>
      <c r="W46" s="32">
        <v>11</v>
      </c>
      <c r="X46" s="32">
        <v>39</v>
      </c>
      <c r="Y46" s="32">
        <v>19</v>
      </c>
      <c r="Z46" s="32">
        <v>34</v>
      </c>
      <c r="AA46" s="32">
        <v>14</v>
      </c>
      <c r="AB46" s="32">
        <v>45</v>
      </c>
      <c r="AC46" s="32">
        <v>41</v>
      </c>
      <c r="AD46" s="32">
        <v>18</v>
      </c>
      <c r="AE46" s="32">
        <v>62</v>
      </c>
      <c r="AF46" s="32">
        <v>12</v>
      </c>
      <c r="AG46" s="32">
        <v>34</v>
      </c>
      <c r="AH46" s="32">
        <v>17</v>
      </c>
      <c r="AI46" s="32">
        <v>8</v>
      </c>
      <c r="AJ46" s="32">
        <v>7</v>
      </c>
      <c r="AK46" s="32">
        <v>71</v>
      </c>
      <c r="AL46" s="32">
        <v>26</v>
      </c>
      <c r="AM46" s="33"/>
      <c r="AN46" s="5">
        <f>SUM(C46:AM46)</f>
        <v>1286</v>
      </c>
      <c r="AO46" t="str">
        <f>" 70歳以上（ n = "&amp;B46&amp;"）"</f>
        <v xml:space="preserve"> 70歳以上（ n = 315）</v>
      </c>
      <c r="AQ46">
        <v>7</v>
      </c>
    </row>
    <row r="47" spans="1:43" x14ac:dyDescent="0.2">
      <c r="A47" s="270"/>
      <c r="B47" s="35">
        <f>'問9S（表）'!B49</f>
        <v>19.492574257425744</v>
      </c>
      <c r="C47" s="20">
        <f t="shared" ref="C47:AL47" si="23">C46/$B$46*100</f>
        <v>34.920634920634917</v>
      </c>
      <c r="D47" s="207">
        <f t="shared" si="23"/>
        <v>11.746031746031745</v>
      </c>
      <c r="E47" s="207">
        <f t="shared" si="23"/>
        <v>4.7619047619047619</v>
      </c>
      <c r="F47" s="207">
        <f t="shared" si="23"/>
        <v>13.015873015873018</v>
      </c>
      <c r="G47" s="207">
        <f t="shared" si="23"/>
        <v>14.603174603174605</v>
      </c>
      <c r="H47" s="207">
        <f t="shared" si="23"/>
        <v>17.460317460317459</v>
      </c>
      <c r="I47" s="207">
        <f t="shared" si="23"/>
        <v>5.7142857142857144</v>
      </c>
      <c r="J47" s="207">
        <f t="shared" si="23"/>
        <v>28.571428571428569</v>
      </c>
      <c r="K47" s="207">
        <f t="shared" si="23"/>
        <v>6.3492063492063489</v>
      </c>
      <c r="L47" s="207">
        <f t="shared" si="23"/>
        <v>7.3015873015873023</v>
      </c>
      <c r="M47" s="207">
        <f t="shared" si="23"/>
        <v>1.5873015873015872</v>
      </c>
      <c r="N47" s="207">
        <f t="shared" si="23"/>
        <v>40.317460317460316</v>
      </c>
      <c r="O47" s="207">
        <f t="shared" si="23"/>
        <v>6.666666666666667</v>
      </c>
      <c r="P47" s="207">
        <f t="shared" si="23"/>
        <v>18.730158730158731</v>
      </c>
      <c r="Q47" s="207">
        <f t="shared" si="23"/>
        <v>13.65079365079365</v>
      </c>
      <c r="R47" s="207">
        <f t="shared" si="23"/>
        <v>8.2539682539682531</v>
      </c>
      <c r="S47" s="207">
        <f t="shared" si="23"/>
        <v>8.8888888888888893</v>
      </c>
      <c r="T47" s="207">
        <f t="shared" si="23"/>
        <v>4.7619047619047619</v>
      </c>
      <c r="U47" s="207">
        <f t="shared" si="23"/>
        <v>7.3015873015873023</v>
      </c>
      <c r="V47" s="207">
        <f t="shared" si="23"/>
        <v>8.2539682539682531</v>
      </c>
      <c r="W47" s="207">
        <f t="shared" si="23"/>
        <v>3.4920634920634921</v>
      </c>
      <c r="X47" s="207">
        <f t="shared" si="23"/>
        <v>12.380952380952381</v>
      </c>
      <c r="Y47" s="207">
        <f t="shared" si="23"/>
        <v>6.0317460317460316</v>
      </c>
      <c r="Z47" s="207">
        <f t="shared" si="23"/>
        <v>10.793650793650794</v>
      </c>
      <c r="AA47" s="207">
        <f t="shared" si="23"/>
        <v>4.4444444444444446</v>
      </c>
      <c r="AB47" s="207">
        <f t="shared" si="23"/>
        <v>14.285714285714285</v>
      </c>
      <c r="AC47" s="207">
        <f t="shared" si="23"/>
        <v>13.015873015873018</v>
      </c>
      <c r="AD47" s="207">
        <f t="shared" si="23"/>
        <v>5.7142857142857144</v>
      </c>
      <c r="AE47" s="207">
        <f t="shared" si="23"/>
        <v>19.682539682539684</v>
      </c>
      <c r="AF47" s="207">
        <f t="shared" si="23"/>
        <v>3.8095238095238098</v>
      </c>
      <c r="AG47" s="207">
        <f t="shared" si="23"/>
        <v>10.793650793650794</v>
      </c>
      <c r="AH47" s="207">
        <f t="shared" si="23"/>
        <v>5.3968253968253972</v>
      </c>
      <c r="AI47" s="207">
        <f t="shared" si="23"/>
        <v>2.5396825396825395</v>
      </c>
      <c r="AJ47" s="207">
        <f t="shared" si="23"/>
        <v>2.2222222222222223</v>
      </c>
      <c r="AK47" s="207">
        <f t="shared" si="23"/>
        <v>22.539682539682541</v>
      </c>
      <c r="AL47" s="207">
        <f t="shared" si="23"/>
        <v>8.2539682539682531</v>
      </c>
      <c r="AM47" s="208"/>
      <c r="AN47" s="195"/>
    </row>
    <row r="48" spans="1:43" s="253" customFormat="1" x14ac:dyDescent="0.2">
      <c r="A48" s="254"/>
      <c r="B48" s="182"/>
      <c r="C48" s="182">
        <f t="shared" ref="C48:AL48" si="24">_xlfn.RANK.EQ(C33,$C$33:$AL$33,0)</f>
        <v>1</v>
      </c>
      <c r="D48" s="182">
        <f t="shared" si="24"/>
        <v>16</v>
      </c>
      <c r="E48" s="182">
        <f t="shared" si="24"/>
        <v>27</v>
      </c>
      <c r="F48" s="182">
        <f t="shared" si="24"/>
        <v>15</v>
      </c>
      <c r="G48" s="182">
        <f t="shared" si="24"/>
        <v>11</v>
      </c>
      <c r="H48" s="182">
        <f t="shared" si="24"/>
        <v>10</v>
      </c>
      <c r="I48" s="182">
        <f t="shared" si="24"/>
        <v>26</v>
      </c>
      <c r="J48" s="182">
        <f t="shared" si="24"/>
        <v>4</v>
      </c>
      <c r="K48" s="182">
        <f t="shared" si="24"/>
        <v>28</v>
      </c>
      <c r="L48" s="182">
        <f t="shared" si="24"/>
        <v>32</v>
      </c>
      <c r="M48" s="182">
        <f t="shared" si="24"/>
        <v>36</v>
      </c>
      <c r="N48" s="182">
        <f t="shared" si="24"/>
        <v>1</v>
      </c>
      <c r="O48" s="182">
        <f t="shared" si="24"/>
        <v>19</v>
      </c>
      <c r="P48" s="182">
        <f t="shared" si="24"/>
        <v>5</v>
      </c>
      <c r="Q48" s="182">
        <f t="shared" si="24"/>
        <v>3</v>
      </c>
      <c r="R48" s="182">
        <f t="shared" si="24"/>
        <v>14</v>
      </c>
      <c r="S48" s="182">
        <f t="shared" si="24"/>
        <v>18</v>
      </c>
      <c r="T48" s="182">
        <f t="shared" si="24"/>
        <v>30</v>
      </c>
      <c r="U48" s="182">
        <f t="shared" si="24"/>
        <v>16</v>
      </c>
      <c r="V48" s="182">
        <f t="shared" si="24"/>
        <v>9</v>
      </c>
      <c r="W48" s="182">
        <f t="shared" si="24"/>
        <v>13</v>
      </c>
      <c r="X48" s="182">
        <f t="shared" si="24"/>
        <v>21</v>
      </c>
      <c r="Y48" s="182">
        <f t="shared" si="24"/>
        <v>23</v>
      </c>
      <c r="Z48" s="182">
        <f t="shared" si="24"/>
        <v>24</v>
      </c>
      <c r="AA48" s="182">
        <f t="shared" si="24"/>
        <v>35</v>
      </c>
      <c r="AB48" s="182">
        <f t="shared" si="24"/>
        <v>12</v>
      </c>
      <c r="AC48" s="182">
        <f t="shared" si="24"/>
        <v>20</v>
      </c>
      <c r="AD48" s="182">
        <f t="shared" si="24"/>
        <v>29</v>
      </c>
      <c r="AE48" s="182">
        <f t="shared" si="24"/>
        <v>7</v>
      </c>
      <c r="AF48" s="182">
        <f t="shared" si="24"/>
        <v>25</v>
      </c>
      <c r="AG48" s="182">
        <f t="shared" si="24"/>
        <v>8</v>
      </c>
      <c r="AH48" s="182">
        <f t="shared" si="24"/>
        <v>33</v>
      </c>
      <c r="AI48" s="182">
        <f t="shared" si="24"/>
        <v>34</v>
      </c>
      <c r="AJ48" s="182">
        <f t="shared" si="24"/>
        <v>31</v>
      </c>
      <c r="AK48" s="182">
        <f t="shared" si="24"/>
        <v>6</v>
      </c>
      <c r="AL48" s="182">
        <f t="shared" si="24"/>
        <v>22</v>
      </c>
      <c r="AM48" s="182"/>
      <c r="AN48" s="182"/>
      <c r="AO48" s="182"/>
      <c r="AP48" s="182"/>
      <c r="AQ48" s="182"/>
    </row>
    <row r="49" spans="1:40" x14ac:dyDescent="0.2">
      <c r="A49" s="26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40" x14ac:dyDescent="0.2">
      <c r="A50" s="6" t="s">
        <v>4</v>
      </c>
      <c r="B50" s="45"/>
      <c r="C50" s="182">
        <v>1</v>
      </c>
      <c r="D50" s="182">
        <v>2</v>
      </c>
      <c r="E50" s="182">
        <v>3</v>
      </c>
      <c r="F50" s="182">
        <v>4</v>
      </c>
      <c r="G50" s="182">
        <v>5</v>
      </c>
      <c r="H50" s="182">
        <v>6</v>
      </c>
      <c r="I50" s="182">
        <v>7</v>
      </c>
      <c r="J50" s="182">
        <v>8</v>
      </c>
      <c r="K50" s="182">
        <v>9</v>
      </c>
      <c r="L50" s="182">
        <v>10</v>
      </c>
      <c r="M50" s="182">
        <v>11</v>
      </c>
      <c r="N50" s="182">
        <v>12</v>
      </c>
      <c r="O50" s="182">
        <v>13</v>
      </c>
      <c r="P50" s="182">
        <v>14</v>
      </c>
      <c r="Q50" s="182">
        <v>15</v>
      </c>
      <c r="R50" s="182">
        <v>16</v>
      </c>
      <c r="S50" s="182">
        <v>17</v>
      </c>
      <c r="T50" s="182">
        <v>18</v>
      </c>
      <c r="U50" s="182">
        <v>19</v>
      </c>
      <c r="V50" s="182">
        <v>20</v>
      </c>
      <c r="W50" s="182">
        <v>21</v>
      </c>
      <c r="X50" s="182">
        <v>22</v>
      </c>
      <c r="Y50" s="182">
        <v>23</v>
      </c>
      <c r="Z50" s="182">
        <v>24</v>
      </c>
      <c r="AA50" s="182">
        <v>25</v>
      </c>
      <c r="AB50" s="182">
        <v>26</v>
      </c>
      <c r="AC50" s="182">
        <v>27</v>
      </c>
      <c r="AD50" s="182">
        <v>28</v>
      </c>
      <c r="AE50" s="182">
        <v>29</v>
      </c>
      <c r="AF50" s="182">
        <v>30</v>
      </c>
      <c r="AG50" s="182">
        <v>31</v>
      </c>
      <c r="AH50" s="182">
        <v>32</v>
      </c>
      <c r="AI50" s="182">
        <v>33</v>
      </c>
      <c r="AJ50" s="182">
        <v>34</v>
      </c>
      <c r="AK50" s="182">
        <v>35</v>
      </c>
      <c r="AL50" s="182">
        <v>36</v>
      </c>
      <c r="AM50" s="197">
        <v>37</v>
      </c>
    </row>
    <row r="51" spans="1:40" ht="43.2" x14ac:dyDescent="0.2">
      <c r="A51" s="12" t="s">
        <v>59</v>
      </c>
      <c r="B51" s="59" t="s">
        <v>157</v>
      </c>
      <c r="C51" s="60" t="s">
        <v>369</v>
      </c>
      <c r="D51" s="61" t="s">
        <v>367</v>
      </c>
      <c r="E51" s="61" t="s">
        <v>365</v>
      </c>
      <c r="F51" s="61" t="s">
        <v>366</v>
      </c>
      <c r="G51" s="61" t="s">
        <v>342</v>
      </c>
      <c r="H51" s="61" t="s">
        <v>340</v>
      </c>
      <c r="I51" s="61" t="s">
        <v>351</v>
      </c>
      <c r="J51" s="61" t="s">
        <v>357</v>
      </c>
      <c r="K51" s="61" t="s">
        <v>343</v>
      </c>
      <c r="L51" s="61" t="s">
        <v>364</v>
      </c>
      <c r="M51" s="61" t="s">
        <v>339</v>
      </c>
      <c r="N51" s="61" t="s">
        <v>368</v>
      </c>
      <c r="O51" s="61" t="s">
        <v>335</v>
      </c>
      <c r="P51" s="61" t="s">
        <v>348</v>
      </c>
      <c r="Q51" s="61" t="s">
        <v>361</v>
      </c>
      <c r="R51" s="61" t="s">
        <v>362</v>
      </c>
      <c r="S51" s="61" t="s">
        <v>360</v>
      </c>
      <c r="T51" s="61" t="s">
        <v>344</v>
      </c>
      <c r="U51" s="61" t="s">
        <v>354</v>
      </c>
      <c r="V51" s="105" t="s">
        <v>363</v>
      </c>
      <c r="W51" s="61" t="s">
        <v>334</v>
      </c>
      <c r="X51" s="61" t="s">
        <v>346</v>
      </c>
      <c r="Y51" s="61" t="s">
        <v>337</v>
      </c>
      <c r="Z51" s="61" t="s">
        <v>350</v>
      </c>
      <c r="AA51" s="61" t="s">
        <v>358</v>
      </c>
      <c r="AB51" s="61" t="s">
        <v>356</v>
      </c>
      <c r="AC51" s="61" t="s">
        <v>345</v>
      </c>
      <c r="AD51" s="61" t="s">
        <v>359</v>
      </c>
      <c r="AE51" s="61" t="s">
        <v>349</v>
      </c>
      <c r="AF51" s="61" t="s">
        <v>341</v>
      </c>
      <c r="AG51" s="61" t="s">
        <v>413</v>
      </c>
      <c r="AH51" s="61" t="s">
        <v>353</v>
      </c>
      <c r="AI51" s="61" t="s">
        <v>347</v>
      </c>
      <c r="AJ51" s="61" t="s">
        <v>352</v>
      </c>
      <c r="AK51" s="61" t="s">
        <v>336</v>
      </c>
      <c r="AL51" s="61" t="s">
        <v>338</v>
      </c>
      <c r="AM51" s="63" t="s">
        <v>0</v>
      </c>
      <c r="AN51" s="5" t="s">
        <v>118</v>
      </c>
    </row>
    <row r="52" spans="1:40" x14ac:dyDescent="0.2">
      <c r="A52" s="269" t="str">
        <f>A32</f>
        <v>全体(n = 1,616 )　　</v>
      </c>
      <c r="B52" s="224" t="str">
        <f>B32</f>
        <v>1,616</v>
      </c>
      <c r="C52" s="121">
        <v>504</v>
      </c>
      <c r="D52" s="122">
        <v>504</v>
      </c>
      <c r="E52" s="122">
        <v>438</v>
      </c>
      <c r="F52" s="122">
        <v>396</v>
      </c>
      <c r="G52" s="122">
        <v>388</v>
      </c>
      <c r="H52" s="122">
        <v>330</v>
      </c>
      <c r="I52" s="122">
        <v>300</v>
      </c>
      <c r="J52" s="122">
        <v>237</v>
      </c>
      <c r="K52" s="122">
        <v>223</v>
      </c>
      <c r="L52" s="122">
        <v>210</v>
      </c>
      <c r="M52" s="122">
        <v>208</v>
      </c>
      <c r="N52" s="122">
        <v>201</v>
      </c>
      <c r="O52" s="122">
        <v>183</v>
      </c>
      <c r="P52" s="122">
        <v>178</v>
      </c>
      <c r="Q52" s="122">
        <v>165</v>
      </c>
      <c r="R52" s="122">
        <v>161</v>
      </c>
      <c r="S52" s="122">
        <v>161</v>
      </c>
      <c r="T52" s="122">
        <v>157</v>
      </c>
      <c r="U52" s="122">
        <v>145</v>
      </c>
      <c r="V52" s="154">
        <v>139</v>
      </c>
      <c r="W52" s="122">
        <v>135</v>
      </c>
      <c r="X52" s="122">
        <v>134</v>
      </c>
      <c r="Y52" s="122">
        <v>129</v>
      </c>
      <c r="Z52" s="122">
        <v>101</v>
      </c>
      <c r="AA52" s="122">
        <v>91</v>
      </c>
      <c r="AB52" s="122">
        <v>87</v>
      </c>
      <c r="AC52" s="122">
        <v>86</v>
      </c>
      <c r="AD52" s="122">
        <v>85</v>
      </c>
      <c r="AE52" s="122">
        <v>83</v>
      </c>
      <c r="AF52" s="122">
        <v>79</v>
      </c>
      <c r="AG52" s="122">
        <v>67</v>
      </c>
      <c r="AH52" s="122">
        <v>63</v>
      </c>
      <c r="AI52" s="122">
        <v>58</v>
      </c>
      <c r="AJ52" s="122">
        <v>55</v>
      </c>
      <c r="AK52" s="122">
        <v>49</v>
      </c>
      <c r="AL52" s="122">
        <v>14</v>
      </c>
      <c r="AM52" s="124"/>
      <c r="AN52" s="5">
        <f>SUM(C52:AM52)</f>
        <v>6544</v>
      </c>
    </row>
    <row r="53" spans="1:40" x14ac:dyDescent="0.2">
      <c r="A53" s="270"/>
      <c r="B53" s="114">
        <f t="shared" ref="B53:B67" si="25">B33</f>
        <v>100</v>
      </c>
      <c r="C53" s="125">
        <v>31.188118811881189</v>
      </c>
      <c r="D53" s="126">
        <v>31.188118811881189</v>
      </c>
      <c r="E53" s="126">
        <v>27.103960396039607</v>
      </c>
      <c r="F53" s="126">
        <v>24.504950495049506</v>
      </c>
      <c r="G53" s="126">
        <v>24.009900990099009</v>
      </c>
      <c r="H53" s="126">
        <v>20.420792079207921</v>
      </c>
      <c r="I53" s="126">
        <v>18.564356435643564</v>
      </c>
      <c r="J53" s="126">
        <v>14.665841584158414</v>
      </c>
      <c r="K53" s="126">
        <v>13.79950495049505</v>
      </c>
      <c r="L53" s="126">
        <v>12.995049504950495</v>
      </c>
      <c r="M53" s="126">
        <v>12.871287128712872</v>
      </c>
      <c r="N53" s="126">
        <v>12.438118811881187</v>
      </c>
      <c r="O53" s="126">
        <v>11.324257425742575</v>
      </c>
      <c r="P53" s="126">
        <v>11.014851485148515</v>
      </c>
      <c r="Q53" s="126">
        <v>10.21039603960396</v>
      </c>
      <c r="R53" s="126">
        <v>9.9628712871287135</v>
      </c>
      <c r="S53" s="126">
        <v>9.9628712871287135</v>
      </c>
      <c r="T53" s="126">
        <v>9.7153465346534649</v>
      </c>
      <c r="U53" s="126">
        <v>8.9727722772277225</v>
      </c>
      <c r="V53" s="142">
        <v>8.6014851485148505</v>
      </c>
      <c r="W53" s="126">
        <v>8.3539603960396036</v>
      </c>
      <c r="X53" s="126">
        <v>8.2920792079207928</v>
      </c>
      <c r="Y53" s="126">
        <v>7.9826732673267324</v>
      </c>
      <c r="Z53" s="126">
        <v>6.25</v>
      </c>
      <c r="AA53" s="126">
        <v>5.6311881188118811</v>
      </c>
      <c r="AB53" s="126">
        <v>5.3836633663366333</v>
      </c>
      <c r="AC53" s="126">
        <v>5.3217821782178216</v>
      </c>
      <c r="AD53" s="126">
        <v>5.2599009900990099</v>
      </c>
      <c r="AE53" s="126">
        <v>5.1361386138613856</v>
      </c>
      <c r="AF53" s="126">
        <v>4.8886138613861387</v>
      </c>
      <c r="AG53" s="126">
        <v>4.1460396039603964</v>
      </c>
      <c r="AH53" s="126">
        <v>3.8985148514851486</v>
      </c>
      <c r="AI53" s="126">
        <v>3.5891089108910887</v>
      </c>
      <c r="AJ53" s="126">
        <v>3.4034653465346536</v>
      </c>
      <c r="AK53" s="126">
        <v>3.032178217821782</v>
      </c>
      <c r="AL53" s="126">
        <v>0.86633663366336644</v>
      </c>
      <c r="AM53" s="128"/>
      <c r="AN53" s="195"/>
    </row>
    <row r="54" spans="1:40" x14ac:dyDescent="0.2">
      <c r="A54" s="269" t="str">
        <f>A34</f>
        <v>18～19歳(n = 21 )　　</v>
      </c>
      <c r="B54" s="113">
        <f t="shared" si="25"/>
        <v>21</v>
      </c>
      <c r="C54" s="129">
        <v>5</v>
      </c>
      <c r="D54" s="130">
        <v>1</v>
      </c>
      <c r="E54" s="130">
        <v>5</v>
      </c>
      <c r="F54" s="130">
        <v>0</v>
      </c>
      <c r="G54" s="130">
        <v>6</v>
      </c>
      <c r="H54" s="130">
        <v>5</v>
      </c>
      <c r="I54" s="130">
        <v>5</v>
      </c>
      <c r="J54" s="130">
        <v>2</v>
      </c>
      <c r="K54" s="130">
        <v>3</v>
      </c>
      <c r="L54" s="130">
        <v>2</v>
      </c>
      <c r="M54" s="130">
        <v>2</v>
      </c>
      <c r="N54" s="130">
        <v>2</v>
      </c>
      <c r="O54" s="130">
        <v>5</v>
      </c>
      <c r="P54" s="130">
        <v>1</v>
      </c>
      <c r="Q54" s="130">
        <v>2</v>
      </c>
      <c r="R54" s="130">
        <v>2</v>
      </c>
      <c r="S54" s="130">
        <v>4</v>
      </c>
      <c r="T54" s="130">
        <v>0</v>
      </c>
      <c r="U54" s="130">
        <v>0</v>
      </c>
      <c r="V54" s="141">
        <v>2</v>
      </c>
      <c r="W54" s="130">
        <v>2</v>
      </c>
      <c r="X54" s="130">
        <v>0</v>
      </c>
      <c r="Y54" s="130">
        <v>4</v>
      </c>
      <c r="Z54" s="130">
        <v>1</v>
      </c>
      <c r="AA54" s="130">
        <v>1</v>
      </c>
      <c r="AB54" s="130">
        <v>0</v>
      </c>
      <c r="AC54" s="130">
        <v>3</v>
      </c>
      <c r="AD54" s="130">
        <v>1</v>
      </c>
      <c r="AE54" s="130">
        <v>2</v>
      </c>
      <c r="AF54" s="130">
        <v>1</v>
      </c>
      <c r="AG54" s="130">
        <v>1</v>
      </c>
      <c r="AH54" s="130">
        <v>1</v>
      </c>
      <c r="AI54" s="130">
        <v>1</v>
      </c>
      <c r="AJ54" s="130">
        <v>0</v>
      </c>
      <c r="AK54" s="130">
        <v>2</v>
      </c>
      <c r="AL54" s="130">
        <v>0</v>
      </c>
      <c r="AM54" s="131"/>
      <c r="AN54" s="5">
        <f>SUM(C54:AM54)</f>
        <v>74</v>
      </c>
    </row>
    <row r="55" spans="1:40" x14ac:dyDescent="0.2">
      <c r="A55" s="270"/>
      <c r="B55" s="114">
        <f t="shared" si="25"/>
        <v>1.2995049504950495</v>
      </c>
      <c r="C55" s="125">
        <v>23.809523809523807</v>
      </c>
      <c r="D55" s="126">
        <v>4.7619047619047619</v>
      </c>
      <c r="E55" s="126">
        <v>23.809523809523807</v>
      </c>
      <c r="F55" s="126">
        <v>0</v>
      </c>
      <c r="G55" s="126">
        <v>28.571428571428569</v>
      </c>
      <c r="H55" s="126">
        <v>23.809523809523807</v>
      </c>
      <c r="I55" s="126">
        <v>23.809523809523807</v>
      </c>
      <c r="J55" s="126">
        <v>9.5238095238095237</v>
      </c>
      <c r="K55" s="126">
        <v>14.285714285714285</v>
      </c>
      <c r="L55" s="126">
        <v>9.5238095238095237</v>
      </c>
      <c r="M55" s="126">
        <v>9.5238095238095237</v>
      </c>
      <c r="N55" s="126">
        <v>9.5238095238095237</v>
      </c>
      <c r="O55" s="126">
        <v>23.809523809523807</v>
      </c>
      <c r="P55" s="126">
        <v>4.7619047619047619</v>
      </c>
      <c r="Q55" s="126">
        <v>9.5238095238095237</v>
      </c>
      <c r="R55" s="126">
        <v>9.5238095238095237</v>
      </c>
      <c r="S55" s="126">
        <v>19.047619047619047</v>
      </c>
      <c r="T55" s="126">
        <v>0</v>
      </c>
      <c r="U55" s="126">
        <v>0</v>
      </c>
      <c r="V55" s="142">
        <v>9.5238095238095237</v>
      </c>
      <c r="W55" s="126">
        <v>9.5238095238095237</v>
      </c>
      <c r="X55" s="126">
        <v>0</v>
      </c>
      <c r="Y55" s="126">
        <v>19.047619047619047</v>
      </c>
      <c r="Z55" s="126">
        <v>4.7619047619047619</v>
      </c>
      <c r="AA55" s="126">
        <v>4.7619047619047619</v>
      </c>
      <c r="AB55" s="126">
        <v>0</v>
      </c>
      <c r="AC55" s="126">
        <v>14.285714285714285</v>
      </c>
      <c r="AD55" s="126">
        <v>4.7619047619047619</v>
      </c>
      <c r="AE55" s="126">
        <v>9.5238095238095237</v>
      </c>
      <c r="AF55" s="126">
        <v>4.7619047619047619</v>
      </c>
      <c r="AG55" s="126">
        <v>4.7619047619047619</v>
      </c>
      <c r="AH55" s="126">
        <v>4.7619047619047619</v>
      </c>
      <c r="AI55" s="126">
        <v>4.7619047619047619</v>
      </c>
      <c r="AJ55" s="126">
        <v>0</v>
      </c>
      <c r="AK55" s="126">
        <v>9.5238095238095237</v>
      </c>
      <c r="AL55" s="126">
        <v>0</v>
      </c>
      <c r="AM55" s="128"/>
      <c r="AN55" s="195"/>
    </row>
    <row r="56" spans="1:40" x14ac:dyDescent="0.2">
      <c r="A56" s="269" t="str">
        <f>A36</f>
        <v>20～29歳(n = 119 )　　</v>
      </c>
      <c r="B56" s="113">
        <f t="shared" si="25"/>
        <v>119</v>
      </c>
      <c r="C56" s="129">
        <v>27</v>
      </c>
      <c r="D56" s="130">
        <v>17</v>
      </c>
      <c r="E56" s="130">
        <v>53</v>
      </c>
      <c r="F56" s="130">
        <v>14</v>
      </c>
      <c r="G56" s="130">
        <v>40</v>
      </c>
      <c r="H56" s="130">
        <v>36</v>
      </c>
      <c r="I56" s="130">
        <v>25</v>
      </c>
      <c r="J56" s="130">
        <v>22</v>
      </c>
      <c r="K56" s="130">
        <v>26</v>
      </c>
      <c r="L56" s="130">
        <v>9</v>
      </c>
      <c r="M56" s="130">
        <v>10</v>
      </c>
      <c r="N56" s="130">
        <v>13</v>
      </c>
      <c r="O56" s="130">
        <v>23</v>
      </c>
      <c r="P56" s="130">
        <v>10</v>
      </c>
      <c r="Q56" s="130">
        <v>7</v>
      </c>
      <c r="R56" s="130">
        <v>5</v>
      </c>
      <c r="S56" s="130">
        <v>12</v>
      </c>
      <c r="T56" s="130">
        <v>4</v>
      </c>
      <c r="U56" s="130">
        <v>12</v>
      </c>
      <c r="V56" s="141">
        <v>6</v>
      </c>
      <c r="W56" s="130">
        <v>5</v>
      </c>
      <c r="X56" s="130">
        <v>8</v>
      </c>
      <c r="Y56" s="130">
        <v>11</v>
      </c>
      <c r="Z56" s="130">
        <v>3</v>
      </c>
      <c r="AA56" s="130">
        <v>7</v>
      </c>
      <c r="AB56" s="130">
        <v>2</v>
      </c>
      <c r="AC56" s="130">
        <v>3</v>
      </c>
      <c r="AD56" s="130">
        <v>5</v>
      </c>
      <c r="AE56" s="130">
        <v>1</v>
      </c>
      <c r="AF56" s="130">
        <v>5</v>
      </c>
      <c r="AG56" s="130">
        <v>6</v>
      </c>
      <c r="AH56" s="130">
        <v>1</v>
      </c>
      <c r="AI56" s="130">
        <v>4</v>
      </c>
      <c r="AJ56" s="130">
        <v>4</v>
      </c>
      <c r="AK56" s="130">
        <v>1</v>
      </c>
      <c r="AL56" s="130">
        <v>1</v>
      </c>
      <c r="AM56" s="131"/>
      <c r="AN56" s="5">
        <f>SUM(C56:AM56)</f>
        <v>438</v>
      </c>
    </row>
    <row r="57" spans="1:40" x14ac:dyDescent="0.2">
      <c r="A57" s="270"/>
      <c r="B57" s="114">
        <f t="shared" si="25"/>
        <v>7.3638613861386135</v>
      </c>
      <c r="C57" s="125">
        <v>22.689075630252102</v>
      </c>
      <c r="D57" s="126">
        <v>14.285714285714285</v>
      </c>
      <c r="E57" s="126">
        <v>44.537815126050425</v>
      </c>
      <c r="F57" s="126">
        <v>11.76470588235294</v>
      </c>
      <c r="G57" s="126">
        <v>33.613445378151262</v>
      </c>
      <c r="H57" s="126">
        <v>30.252100840336134</v>
      </c>
      <c r="I57" s="126">
        <v>21.008403361344538</v>
      </c>
      <c r="J57" s="126">
        <v>18.487394957983195</v>
      </c>
      <c r="K57" s="126">
        <v>21.84873949579832</v>
      </c>
      <c r="L57" s="126">
        <v>7.5630252100840334</v>
      </c>
      <c r="M57" s="126">
        <v>8.4033613445378155</v>
      </c>
      <c r="N57" s="126">
        <v>10.92436974789916</v>
      </c>
      <c r="O57" s="126">
        <v>19.327731092436977</v>
      </c>
      <c r="P57" s="126">
        <v>8.4033613445378155</v>
      </c>
      <c r="Q57" s="126">
        <v>5.8823529411764701</v>
      </c>
      <c r="R57" s="126">
        <v>4.2016806722689077</v>
      </c>
      <c r="S57" s="126">
        <v>10.084033613445378</v>
      </c>
      <c r="T57" s="126">
        <v>3.3613445378151261</v>
      </c>
      <c r="U57" s="126">
        <v>10.084033613445378</v>
      </c>
      <c r="V57" s="142">
        <v>5.0420168067226889</v>
      </c>
      <c r="W57" s="126">
        <v>4.2016806722689077</v>
      </c>
      <c r="X57" s="126">
        <v>6.7226890756302522</v>
      </c>
      <c r="Y57" s="126">
        <v>9.2436974789915975</v>
      </c>
      <c r="Z57" s="126">
        <v>2.5210084033613445</v>
      </c>
      <c r="AA57" s="126">
        <v>5.8823529411764701</v>
      </c>
      <c r="AB57" s="126">
        <v>1.680672268907563</v>
      </c>
      <c r="AC57" s="126">
        <v>2.5210084033613445</v>
      </c>
      <c r="AD57" s="126">
        <v>4.2016806722689077</v>
      </c>
      <c r="AE57" s="126">
        <v>0.84033613445378152</v>
      </c>
      <c r="AF57" s="126">
        <v>4.2016806722689077</v>
      </c>
      <c r="AG57" s="126">
        <v>5.0420168067226889</v>
      </c>
      <c r="AH57" s="126">
        <v>0.84033613445378152</v>
      </c>
      <c r="AI57" s="126">
        <v>3.3613445378151261</v>
      </c>
      <c r="AJ57" s="126">
        <v>3.3613445378151261</v>
      </c>
      <c r="AK57" s="126">
        <v>0.84033613445378152</v>
      </c>
      <c r="AL57" s="126">
        <v>0.84033613445378152</v>
      </c>
      <c r="AM57" s="128"/>
      <c r="AN57" s="195"/>
    </row>
    <row r="58" spans="1:40" x14ac:dyDescent="0.2">
      <c r="A58" s="269" t="str">
        <f>A38</f>
        <v>30～39歳(n = 196 )　　</v>
      </c>
      <c r="B58" s="113">
        <f t="shared" si="25"/>
        <v>196</v>
      </c>
      <c r="C58" s="129">
        <v>47</v>
      </c>
      <c r="D58" s="130">
        <v>35</v>
      </c>
      <c r="E58" s="130">
        <v>98</v>
      </c>
      <c r="F58" s="130">
        <v>41</v>
      </c>
      <c r="G58" s="130">
        <v>76</v>
      </c>
      <c r="H58" s="130">
        <v>42</v>
      </c>
      <c r="I58" s="130">
        <v>24</v>
      </c>
      <c r="J58" s="130">
        <v>46</v>
      </c>
      <c r="K58" s="130">
        <v>34</v>
      </c>
      <c r="L58" s="130">
        <v>20</v>
      </c>
      <c r="M58" s="130">
        <v>22</v>
      </c>
      <c r="N58" s="130">
        <v>19</v>
      </c>
      <c r="O58" s="130">
        <v>34</v>
      </c>
      <c r="P58" s="130">
        <v>29</v>
      </c>
      <c r="Q58" s="130">
        <v>12</v>
      </c>
      <c r="R58" s="130">
        <v>15</v>
      </c>
      <c r="S58" s="130">
        <v>27</v>
      </c>
      <c r="T58" s="130">
        <v>23</v>
      </c>
      <c r="U58" s="130">
        <v>21</v>
      </c>
      <c r="V58" s="141">
        <v>11</v>
      </c>
      <c r="W58" s="130">
        <v>15</v>
      </c>
      <c r="X58" s="130">
        <v>14</v>
      </c>
      <c r="Y58" s="130">
        <v>22</v>
      </c>
      <c r="Z58" s="130">
        <v>5</v>
      </c>
      <c r="AA58" s="130">
        <v>18</v>
      </c>
      <c r="AB58" s="130">
        <v>10</v>
      </c>
      <c r="AC58" s="130">
        <v>11</v>
      </c>
      <c r="AD58" s="130">
        <v>8</v>
      </c>
      <c r="AE58" s="130">
        <v>7</v>
      </c>
      <c r="AF58" s="130">
        <v>7</v>
      </c>
      <c r="AG58" s="130">
        <v>11</v>
      </c>
      <c r="AH58" s="130">
        <v>4</v>
      </c>
      <c r="AI58" s="130">
        <v>9</v>
      </c>
      <c r="AJ58" s="130">
        <v>4</v>
      </c>
      <c r="AK58" s="130">
        <v>4</v>
      </c>
      <c r="AL58" s="130">
        <v>1</v>
      </c>
      <c r="AM58" s="131"/>
      <c r="AN58" s="5">
        <f>SUM(C58:AM58)</f>
        <v>826</v>
      </c>
    </row>
    <row r="59" spans="1:40" x14ac:dyDescent="0.2">
      <c r="A59" s="270"/>
      <c r="B59" s="114">
        <f t="shared" si="25"/>
        <v>12.128712871287128</v>
      </c>
      <c r="C59" s="125">
        <v>23.979591836734691</v>
      </c>
      <c r="D59" s="126">
        <v>17.857142857142858</v>
      </c>
      <c r="E59" s="126">
        <v>50</v>
      </c>
      <c r="F59" s="126">
        <v>20.918367346938776</v>
      </c>
      <c r="G59" s="126">
        <v>38.775510204081634</v>
      </c>
      <c r="H59" s="126">
        <v>21.428571428571427</v>
      </c>
      <c r="I59" s="126">
        <v>12.244897959183673</v>
      </c>
      <c r="J59" s="126">
        <v>23.469387755102041</v>
      </c>
      <c r="K59" s="126">
        <v>17.346938775510203</v>
      </c>
      <c r="L59" s="126">
        <v>10.204081632653061</v>
      </c>
      <c r="M59" s="126">
        <v>11.224489795918368</v>
      </c>
      <c r="N59" s="126">
        <v>9.6938775510204085</v>
      </c>
      <c r="O59" s="126">
        <v>17.346938775510203</v>
      </c>
      <c r="P59" s="126">
        <v>14.795918367346939</v>
      </c>
      <c r="Q59" s="126">
        <v>6.1224489795918364</v>
      </c>
      <c r="R59" s="126">
        <v>7.6530612244897958</v>
      </c>
      <c r="S59" s="126">
        <v>13.77551020408163</v>
      </c>
      <c r="T59" s="126">
        <v>11.73469387755102</v>
      </c>
      <c r="U59" s="126">
        <v>10.714285714285714</v>
      </c>
      <c r="V59" s="142">
        <v>5.6122448979591839</v>
      </c>
      <c r="W59" s="126">
        <v>7.6530612244897958</v>
      </c>
      <c r="X59" s="126">
        <v>7.1428571428571423</v>
      </c>
      <c r="Y59" s="126">
        <v>11.224489795918368</v>
      </c>
      <c r="Z59" s="126">
        <v>2.5510204081632653</v>
      </c>
      <c r="AA59" s="126">
        <v>9.183673469387756</v>
      </c>
      <c r="AB59" s="126">
        <v>5.1020408163265305</v>
      </c>
      <c r="AC59" s="126">
        <v>5.6122448979591839</v>
      </c>
      <c r="AD59" s="126">
        <v>4.0816326530612246</v>
      </c>
      <c r="AE59" s="126">
        <v>3.5714285714285712</v>
      </c>
      <c r="AF59" s="126">
        <v>3.5714285714285712</v>
      </c>
      <c r="AG59" s="126">
        <v>5.6122448979591839</v>
      </c>
      <c r="AH59" s="126">
        <v>2.0408163265306123</v>
      </c>
      <c r="AI59" s="126">
        <v>4.591836734693878</v>
      </c>
      <c r="AJ59" s="126">
        <v>2.0408163265306123</v>
      </c>
      <c r="AK59" s="126">
        <v>2.0408163265306123</v>
      </c>
      <c r="AL59" s="126">
        <v>0.51020408163265307</v>
      </c>
      <c r="AM59" s="128"/>
      <c r="AN59" s="195"/>
    </row>
    <row r="60" spans="1:40" x14ac:dyDescent="0.2">
      <c r="A60" s="269" t="str">
        <f>A40</f>
        <v>40～49歳(n = 281 )　　</v>
      </c>
      <c r="B60" s="113">
        <f t="shared" si="25"/>
        <v>281</v>
      </c>
      <c r="C60" s="129">
        <v>81</v>
      </c>
      <c r="D60" s="130">
        <v>82</v>
      </c>
      <c r="E60" s="130">
        <v>115</v>
      </c>
      <c r="F60" s="130">
        <v>72</v>
      </c>
      <c r="G60" s="130">
        <v>72</v>
      </c>
      <c r="H60" s="130">
        <v>51</v>
      </c>
      <c r="I60" s="130">
        <v>56</v>
      </c>
      <c r="J60" s="130">
        <v>59</v>
      </c>
      <c r="K60" s="130">
        <v>46</v>
      </c>
      <c r="L60" s="130">
        <v>30</v>
      </c>
      <c r="M60" s="130">
        <v>43</v>
      </c>
      <c r="N60" s="130">
        <v>27</v>
      </c>
      <c r="O60" s="130">
        <v>44</v>
      </c>
      <c r="P60" s="130">
        <v>44</v>
      </c>
      <c r="Q60" s="130">
        <v>23</v>
      </c>
      <c r="R60" s="130">
        <v>27</v>
      </c>
      <c r="S60" s="130">
        <v>27</v>
      </c>
      <c r="T60" s="130">
        <v>28</v>
      </c>
      <c r="U60" s="130">
        <v>31</v>
      </c>
      <c r="V60" s="141">
        <v>21</v>
      </c>
      <c r="W60" s="130">
        <v>19</v>
      </c>
      <c r="X60" s="130">
        <v>19</v>
      </c>
      <c r="Y60" s="130">
        <v>24</v>
      </c>
      <c r="Z60" s="130">
        <v>12</v>
      </c>
      <c r="AA60" s="130">
        <v>19</v>
      </c>
      <c r="AB60" s="130">
        <v>6</v>
      </c>
      <c r="AC60" s="130">
        <v>9</v>
      </c>
      <c r="AD60" s="130">
        <v>13</v>
      </c>
      <c r="AE60" s="130">
        <v>11</v>
      </c>
      <c r="AF60" s="130">
        <v>19</v>
      </c>
      <c r="AG60" s="130">
        <v>11</v>
      </c>
      <c r="AH60" s="130">
        <v>9</v>
      </c>
      <c r="AI60" s="130">
        <v>8</v>
      </c>
      <c r="AJ60" s="130">
        <v>11</v>
      </c>
      <c r="AK60" s="130">
        <v>4</v>
      </c>
      <c r="AL60" s="130">
        <v>2</v>
      </c>
      <c r="AM60" s="131"/>
      <c r="AN60" s="5">
        <f>SUM(C60:AM60)</f>
        <v>1175</v>
      </c>
    </row>
    <row r="61" spans="1:40" x14ac:dyDescent="0.2">
      <c r="A61" s="270"/>
      <c r="B61" s="114">
        <f t="shared" si="25"/>
        <v>17.388613861386137</v>
      </c>
      <c r="C61" s="125">
        <v>28.825622775800714</v>
      </c>
      <c r="D61" s="126">
        <v>29.181494661921707</v>
      </c>
      <c r="E61" s="126">
        <v>40.92526690391459</v>
      </c>
      <c r="F61" s="126">
        <v>25.622775800711743</v>
      </c>
      <c r="G61" s="126">
        <v>25.622775800711743</v>
      </c>
      <c r="H61" s="126">
        <v>18.14946619217082</v>
      </c>
      <c r="I61" s="126">
        <v>19.9288256227758</v>
      </c>
      <c r="J61" s="126">
        <v>20.996441281138789</v>
      </c>
      <c r="K61" s="126">
        <v>16.370106761565836</v>
      </c>
      <c r="L61" s="126">
        <v>10.676156583629894</v>
      </c>
      <c r="M61" s="126">
        <v>15.302491103202847</v>
      </c>
      <c r="N61" s="126">
        <v>9.6085409252669027</v>
      </c>
      <c r="O61" s="126">
        <v>15.658362989323843</v>
      </c>
      <c r="P61" s="126">
        <v>15.658362989323843</v>
      </c>
      <c r="Q61" s="126">
        <v>8.185053380782918</v>
      </c>
      <c r="R61" s="126">
        <v>9.6085409252669027</v>
      </c>
      <c r="S61" s="126">
        <v>9.6085409252669027</v>
      </c>
      <c r="T61" s="126">
        <v>9.9644128113879002</v>
      </c>
      <c r="U61" s="126">
        <v>11.032028469750891</v>
      </c>
      <c r="V61" s="142">
        <v>7.4733096085409247</v>
      </c>
      <c r="W61" s="126">
        <v>6.7615658362989333</v>
      </c>
      <c r="X61" s="126">
        <v>6.7615658362989333</v>
      </c>
      <c r="Y61" s="126">
        <v>8.5409252669039155</v>
      </c>
      <c r="Z61" s="126">
        <v>4.2704626334519578</v>
      </c>
      <c r="AA61" s="126">
        <v>6.7615658362989333</v>
      </c>
      <c r="AB61" s="126">
        <v>2.1352313167259789</v>
      </c>
      <c r="AC61" s="126">
        <v>3.2028469750889679</v>
      </c>
      <c r="AD61" s="126">
        <v>4.6263345195729535</v>
      </c>
      <c r="AE61" s="126">
        <v>3.9145907473309607</v>
      </c>
      <c r="AF61" s="126">
        <v>6.7615658362989333</v>
      </c>
      <c r="AG61" s="126">
        <v>3.9145907473309607</v>
      </c>
      <c r="AH61" s="126">
        <v>3.2028469750889679</v>
      </c>
      <c r="AI61" s="126">
        <v>2.8469750889679712</v>
      </c>
      <c r="AJ61" s="126">
        <v>3.9145907473309607</v>
      </c>
      <c r="AK61" s="126">
        <v>1.4234875444839856</v>
      </c>
      <c r="AL61" s="126">
        <v>0.71174377224199281</v>
      </c>
      <c r="AM61" s="128"/>
      <c r="AN61" s="195"/>
    </row>
    <row r="62" spans="1:40" x14ac:dyDescent="0.2">
      <c r="A62" s="269" t="str">
        <f>A42</f>
        <v>50～59歳(n = 320 )　　</v>
      </c>
      <c r="B62" s="113">
        <f t="shared" si="25"/>
        <v>320</v>
      </c>
      <c r="C62" s="129">
        <v>108</v>
      </c>
      <c r="D62" s="130">
        <v>93</v>
      </c>
      <c r="E62" s="130">
        <v>59</v>
      </c>
      <c r="F62" s="130">
        <v>83</v>
      </c>
      <c r="G62" s="130">
        <v>62</v>
      </c>
      <c r="H62" s="130">
        <v>60</v>
      </c>
      <c r="I62" s="130">
        <v>60</v>
      </c>
      <c r="J62" s="130">
        <v>39</v>
      </c>
      <c r="K62" s="130">
        <v>47</v>
      </c>
      <c r="L62" s="130">
        <v>46</v>
      </c>
      <c r="M62" s="130">
        <v>39</v>
      </c>
      <c r="N62" s="130">
        <v>43</v>
      </c>
      <c r="O62" s="130">
        <v>35</v>
      </c>
      <c r="P62" s="130">
        <v>33</v>
      </c>
      <c r="Q62" s="130">
        <v>35</v>
      </c>
      <c r="R62" s="130">
        <v>29</v>
      </c>
      <c r="S62" s="130">
        <v>39</v>
      </c>
      <c r="T62" s="130">
        <v>36</v>
      </c>
      <c r="U62" s="130">
        <v>31</v>
      </c>
      <c r="V62" s="141">
        <v>26</v>
      </c>
      <c r="W62" s="130">
        <v>24</v>
      </c>
      <c r="X62" s="130">
        <v>31</v>
      </c>
      <c r="Y62" s="130">
        <v>19</v>
      </c>
      <c r="Z62" s="130">
        <v>17</v>
      </c>
      <c r="AA62" s="130">
        <v>18</v>
      </c>
      <c r="AB62" s="130">
        <v>26</v>
      </c>
      <c r="AC62" s="130">
        <v>19</v>
      </c>
      <c r="AD62" s="130">
        <v>17</v>
      </c>
      <c r="AE62" s="130">
        <v>18</v>
      </c>
      <c r="AF62" s="130">
        <v>19</v>
      </c>
      <c r="AG62" s="130">
        <v>15</v>
      </c>
      <c r="AH62" s="130">
        <v>11</v>
      </c>
      <c r="AI62" s="130">
        <v>6</v>
      </c>
      <c r="AJ62" s="130">
        <v>13</v>
      </c>
      <c r="AK62" s="130">
        <v>11</v>
      </c>
      <c r="AL62" s="130">
        <v>3</v>
      </c>
      <c r="AM62" s="131"/>
      <c r="AN62" s="5">
        <f>SUM(C62:AM62)</f>
        <v>1270</v>
      </c>
    </row>
    <row r="63" spans="1:40" x14ac:dyDescent="0.2">
      <c r="A63" s="270"/>
      <c r="B63" s="114">
        <f t="shared" si="25"/>
        <v>19.801980198019802</v>
      </c>
      <c r="C63" s="125">
        <v>33.75</v>
      </c>
      <c r="D63" s="126">
        <v>29.062500000000004</v>
      </c>
      <c r="E63" s="126">
        <v>18.4375</v>
      </c>
      <c r="F63" s="126">
        <v>25.937500000000004</v>
      </c>
      <c r="G63" s="126">
        <v>19.375</v>
      </c>
      <c r="H63" s="126">
        <v>18.75</v>
      </c>
      <c r="I63" s="126">
        <v>18.75</v>
      </c>
      <c r="J63" s="126">
        <v>12.1875</v>
      </c>
      <c r="K63" s="126">
        <v>14.6875</v>
      </c>
      <c r="L63" s="126">
        <v>14.374999999999998</v>
      </c>
      <c r="M63" s="126">
        <v>12.1875</v>
      </c>
      <c r="N63" s="126">
        <v>13.4375</v>
      </c>
      <c r="O63" s="126">
        <v>10.9375</v>
      </c>
      <c r="P63" s="126">
        <v>10.3125</v>
      </c>
      <c r="Q63" s="126">
        <v>10.9375</v>
      </c>
      <c r="R63" s="126">
        <v>9.0625</v>
      </c>
      <c r="S63" s="126">
        <v>12.1875</v>
      </c>
      <c r="T63" s="126">
        <v>11.25</v>
      </c>
      <c r="U63" s="126">
        <v>9.6875</v>
      </c>
      <c r="V63" s="142">
        <v>8.125</v>
      </c>
      <c r="W63" s="126">
        <v>7.5</v>
      </c>
      <c r="X63" s="126">
        <v>9.6875</v>
      </c>
      <c r="Y63" s="126">
        <v>5.9375</v>
      </c>
      <c r="Z63" s="126">
        <v>5.3125</v>
      </c>
      <c r="AA63" s="126">
        <v>5.625</v>
      </c>
      <c r="AB63" s="126">
        <v>8.125</v>
      </c>
      <c r="AC63" s="126">
        <v>5.9375</v>
      </c>
      <c r="AD63" s="126">
        <v>5.3125</v>
      </c>
      <c r="AE63" s="126">
        <v>5.625</v>
      </c>
      <c r="AF63" s="126">
        <v>5.9375</v>
      </c>
      <c r="AG63" s="126">
        <v>4.6875</v>
      </c>
      <c r="AH63" s="126">
        <v>3.4375000000000004</v>
      </c>
      <c r="AI63" s="126">
        <v>1.875</v>
      </c>
      <c r="AJ63" s="126">
        <v>4.0625</v>
      </c>
      <c r="AK63" s="126">
        <v>3.4375000000000004</v>
      </c>
      <c r="AL63" s="126">
        <v>0.9375</v>
      </c>
      <c r="AM63" s="128"/>
      <c r="AN63" s="195"/>
    </row>
    <row r="64" spans="1:40" x14ac:dyDescent="0.2">
      <c r="A64" s="269" t="str">
        <f>A44</f>
        <v>60～69歳(n = 352 )　　</v>
      </c>
      <c r="B64" s="113">
        <f t="shared" si="25"/>
        <v>352</v>
      </c>
      <c r="C64" s="129">
        <v>122</v>
      </c>
      <c r="D64" s="130">
        <v>143</v>
      </c>
      <c r="E64" s="130">
        <v>64</v>
      </c>
      <c r="F64" s="130">
        <v>92</v>
      </c>
      <c r="G64" s="130">
        <v>70</v>
      </c>
      <c r="H64" s="130">
        <v>62</v>
      </c>
      <c r="I64" s="130">
        <v>66</v>
      </c>
      <c r="J64" s="130">
        <v>34</v>
      </c>
      <c r="K64" s="130">
        <v>39</v>
      </c>
      <c r="L64" s="130">
        <v>45</v>
      </c>
      <c r="M64" s="130">
        <v>45</v>
      </c>
      <c r="N64" s="130">
        <v>52</v>
      </c>
      <c r="O64" s="130">
        <v>30</v>
      </c>
      <c r="P64" s="130">
        <v>35</v>
      </c>
      <c r="Q64" s="130">
        <v>44</v>
      </c>
      <c r="R64" s="130">
        <v>45</v>
      </c>
      <c r="S64" s="130">
        <v>29</v>
      </c>
      <c r="T64" s="130">
        <v>36</v>
      </c>
      <c r="U64" s="130">
        <v>29</v>
      </c>
      <c r="V64" s="141">
        <v>31</v>
      </c>
      <c r="W64" s="130">
        <v>30</v>
      </c>
      <c r="X64" s="130">
        <v>36</v>
      </c>
      <c r="Y64" s="130">
        <v>30</v>
      </c>
      <c r="Z64" s="130">
        <v>28</v>
      </c>
      <c r="AA64" s="130">
        <v>16</v>
      </c>
      <c r="AB64" s="130">
        <v>25</v>
      </c>
      <c r="AC64" s="130">
        <v>24</v>
      </c>
      <c r="AD64" s="130">
        <v>20</v>
      </c>
      <c r="AE64" s="130">
        <v>25</v>
      </c>
      <c r="AF64" s="130">
        <v>13</v>
      </c>
      <c r="AG64" s="130">
        <v>16</v>
      </c>
      <c r="AH64" s="130">
        <v>10</v>
      </c>
      <c r="AI64" s="130">
        <v>11</v>
      </c>
      <c r="AJ64" s="130">
        <v>15</v>
      </c>
      <c r="AK64" s="130">
        <v>13</v>
      </c>
      <c r="AL64" s="130">
        <v>2</v>
      </c>
      <c r="AM64" s="131"/>
      <c r="AN64" s="5">
        <f>SUM(C64:AM64)</f>
        <v>1427</v>
      </c>
    </row>
    <row r="65" spans="1:40" x14ac:dyDescent="0.2">
      <c r="A65" s="270"/>
      <c r="B65" s="114">
        <f t="shared" si="25"/>
        <v>21.782178217821784</v>
      </c>
      <c r="C65" s="125">
        <v>34.659090909090914</v>
      </c>
      <c r="D65" s="126">
        <v>40.625</v>
      </c>
      <c r="E65" s="126">
        <v>18.181818181818183</v>
      </c>
      <c r="F65" s="126">
        <v>26.136363636363637</v>
      </c>
      <c r="G65" s="126">
        <v>19.886363636363637</v>
      </c>
      <c r="H65" s="126">
        <v>17.613636363636363</v>
      </c>
      <c r="I65" s="126">
        <v>18.75</v>
      </c>
      <c r="J65" s="126">
        <v>9.6590909090909083</v>
      </c>
      <c r="K65" s="126">
        <v>11.079545454545455</v>
      </c>
      <c r="L65" s="126">
        <v>12.784090909090908</v>
      </c>
      <c r="M65" s="126">
        <v>12.784090909090908</v>
      </c>
      <c r="N65" s="126">
        <v>14.772727272727273</v>
      </c>
      <c r="O65" s="126">
        <v>8.5227272727272716</v>
      </c>
      <c r="P65" s="126">
        <v>9.9431818181818183</v>
      </c>
      <c r="Q65" s="126">
        <v>12.5</v>
      </c>
      <c r="R65" s="126">
        <v>12.784090909090908</v>
      </c>
      <c r="S65" s="126">
        <v>8.2386363636363633</v>
      </c>
      <c r="T65" s="126">
        <v>10.227272727272728</v>
      </c>
      <c r="U65" s="126">
        <v>8.2386363636363633</v>
      </c>
      <c r="V65" s="142">
        <v>8.8068181818181817</v>
      </c>
      <c r="W65" s="126">
        <v>8.5227272727272716</v>
      </c>
      <c r="X65" s="126">
        <v>10.227272727272728</v>
      </c>
      <c r="Y65" s="126">
        <v>8.5227272727272716</v>
      </c>
      <c r="Z65" s="126">
        <v>7.9545454545454541</v>
      </c>
      <c r="AA65" s="126">
        <v>4.5454545454545459</v>
      </c>
      <c r="AB65" s="126">
        <v>7.1022727272727275</v>
      </c>
      <c r="AC65" s="126">
        <v>6.8181818181818175</v>
      </c>
      <c r="AD65" s="126">
        <v>5.6818181818181817</v>
      </c>
      <c r="AE65" s="126">
        <v>7.1022727272727275</v>
      </c>
      <c r="AF65" s="126">
        <v>3.6931818181818183</v>
      </c>
      <c r="AG65" s="126">
        <v>4.5454545454545459</v>
      </c>
      <c r="AH65" s="126">
        <v>2.8409090909090908</v>
      </c>
      <c r="AI65" s="126">
        <v>3.125</v>
      </c>
      <c r="AJ65" s="126">
        <v>4.2613636363636358</v>
      </c>
      <c r="AK65" s="126">
        <v>3.6931818181818183</v>
      </c>
      <c r="AL65" s="126">
        <v>0.56818181818181823</v>
      </c>
      <c r="AM65" s="128"/>
      <c r="AN65" s="195"/>
    </row>
    <row r="66" spans="1:40" x14ac:dyDescent="0.2">
      <c r="A66" s="269" t="str">
        <f>A46</f>
        <v>70歳以上(n = 315 )　　</v>
      </c>
      <c r="B66" s="113">
        <f t="shared" si="25"/>
        <v>315</v>
      </c>
      <c r="C66" s="129">
        <v>110</v>
      </c>
      <c r="D66" s="130">
        <v>127</v>
      </c>
      <c r="E66" s="130">
        <v>43</v>
      </c>
      <c r="F66" s="130">
        <v>90</v>
      </c>
      <c r="G66" s="130">
        <v>59</v>
      </c>
      <c r="H66" s="130">
        <v>71</v>
      </c>
      <c r="I66" s="130">
        <v>62</v>
      </c>
      <c r="J66" s="130">
        <v>34</v>
      </c>
      <c r="K66" s="130">
        <v>26</v>
      </c>
      <c r="L66" s="130">
        <v>55</v>
      </c>
      <c r="M66" s="130">
        <v>46</v>
      </c>
      <c r="N66" s="130">
        <v>45</v>
      </c>
      <c r="O66" s="130">
        <v>11</v>
      </c>
      <c r="P66" s="130">
        <v>26</v>
      </c>
      <c r="Q66" s="130">
        <v>41</v>
      </c>
      <c r="R66" s="130">
        <v>37</v>
      </c>
      <c r="S66" s="130">
        <v>23</v>
      </c>
      <c r="T66" s="130">
        <v>28</v>
      </c>
      <c r="U66" s="130">
        <v>21</v>
      </c>
      <c r="V66" s="141">
        <v>41</v>
      </c>
      <c r="W66" s="130">
        <v>39</v>
      </c>
      <c r="X66" s="130">
        <v>26</v>
      </c>
      <c r="Y66" s="130">
        <v>19</v>
      </c>
      <c r="Z66" s="130">
        <v>34</v>
      </c>
      <c r="AA66" s="130">
        <v>12</v>
      </c>
      <c r="AB66" s="130">
        <v>18</v>
      </c>
      <c r="AC66" s="130">
        <v>15</v>
      </c>
      <c r="AD66" s="130">
        <v>20</v>
      </c>
      <c r="AE66" s="130">
        <v>18</v>
      </c>
      <c r="AF66" s="130">
        <v>15</v>
      </c>
      <c r="AG66" s="130">
        <v>7</v>
      </c>
      <c r="AH66" s="130">
        <v>23</v>
      </c>
      <c r="AI66" s="130">
        <v>17</v>
      </c>
      <c r="AJ66" s="130">
        <v>8</v>
      </c>
      <c r="AK66" s="130">
        <v>14</v>
      </c>
      <c r="AL66" s="130">
        <v>5</v>
      </c>
      <c r="AM66" s="131"/>
      <c r="AN66" s="5">
        <f>SUM(C66:AM66)</f>
        <v>1286</v>
      </c>
    </row>
    <row r="67" spans="1:40" ht="12.75" customHeight="1" x14ac:dyDescent="0.2">
      <c r="A67" s="270"/>
      <c r="B67" s="114">
        <f t="shared" si="25"/>
        <v>19.492574257425744</v>
      </c>
      <c r="C67" s="125">
        <v>34.920634920634917</v>
      </c>
      <c r="D67" s="126">
        <v>40.317460317460316</v>
      </c>
      <c r="E67" s="126">
        <v>13.65079365079365</v>
      </c>
      <c r="F67" s="126">
        <v>28.571428571428569</v>
      </c>
      <c r="G67" s="126">
        <v>18.730158730158731</v>
      </c>
      <c r="H67" s="126">
        <v>22.539682539682541</v>
      </c>
      <c r="I67" s="126">
        <v>19.682539682539684</v>
      </c>
      <c r="J67" s="126">
        <v>10.793650793650794</v>
      </c>
      <c r="K67" s="126">
        <v>8.2539682539682531</v>
      </c>
      <c r="L67" s="126">
        <v>17.460317460317459</v>
      </c>
      <c r="M67" s="126">
        <v>14.603174603174605</v>
      </c>
      <c r="N67" s="126">
        <v>14.285714285714285</v>
      </c>
      <c r="O67" s="126">
        <v>3.4920634920634921</v>
      </c>
      <c r="P67" s="126">
        <v>8.2539682539682531</v>
      </c>
      <c r="Q67" s="126">
        <v>13.015873015873018</v>
      </c>
      <c r="R67" s="126">
        <v>11.746031746031745</v>
      </c>
      <c r="S67" s="126">
        <v>7.3015873015873023</v>
      </c>
      <c r="T67" s="126">
        <v>8.8888888888888893</v>
      </c>
      <c r="U67" s="126">
        <v>6.666666666666667</v>
      </c>
      <c r="V67" s="142">
        <v>13.015873015873018</v>
      </c>
      <c r="W67" s="126">
        <v>12.380952380952381</v>
      </c>
      <c r="X67" s="126">
        <v>8.2539682539682531</v>
      </c>
      <c r="Y67" s="126">
        <v>6.0317460317460316</v>
      </c>
      <c r="Z67" s="126">
        <v>10.793650793650794</v>
      </c>
      <c r="AA67" s="126">
        <v>3.8095238095238098</v>
      </c>
      <c r="AB67" s="126">
        <v>5.7142857142857144</v>
      </c>
      <c r="AC67" s="126">
        <v>4.7619047619047619</v>
      </c>
      <c r="AD67" s="126">
        <v>6.3492063492063489</v>
      </c>
      <c r="AE67" s="126">
        <v>5.7142857142857144</v>
      </c>
      <c r="AF67" s="126">
        <v>4.7619047619047619</v>
      </c>
      <c r="AG67" s="126">
        <v>2.2222222222222223</v>
      </c>
      <c r="AH67" s="126">
        <v>7.3015873015873023</v>
      </c>
      <c r="AI67" s="126">
        <v>5.3968253968253972</v>
      </c>
      <c r="AJ67" s="126">
        <v>2.5396825396825395</v>
      </c>
      <c r="AK67" s="126">
        <v>4.4444444444444446</v>
      </c>
      <c r="AL67" s="126">
        <v>1.5873015873015872</v>
      </c>
      <c r="AM67" s="128"/>
      <c r="AN67" s="195"/>
    </row>
    <row r="68" spans="1:40" s="186" customFormat="1" x14ac:dyDescent="0.2">
      <c r="A68" s="184"/>
      <c r="B68" s="182"/>
      <c r="C68" s="182">
        <v>1</v>
      </c>
      <c r="D68" s="182">
        <v>1</v>
      </c>
      <c r="E68" s="182">
        <v>3</v>
      </c>
      <c r="F68" s="182">
        <v>4</v>
      </c>
      <c r="G68" s="182">
        <v>5</v>
      </c>
      <c r="H68" s="182">
        <v>6</v>
      </c>
      <c r="I68" s="182">
        <v>7</v>
      </c>
      <c r="J68" s="182">
        <v>8</v>
      </c>
      <c r="K68" s="182">
        <v>9</v>
      </c>
      <c r="L68" s="182">
        <v>10</v>
      </c>
      <c r="M68" s="182">
        <v>11</v>
      </c>
      <c r="N68" s="182">
        <v>12</v>
      </c>
      <c r="O68" s="182">
        <v>13</v>
      </c>
      <c r="P68" s="182">
        <v>14</v>
      </c>
      <c r="Q68" s="182">
        <v>15</v>
      </c>
      <c r="R68" s="182">
        <v>16</v>
      </c>
      <c r="S68" s="182">
        <v>16</v>
      </c>
      <c r="T68" s="182">
        <v>18</v>
      </c>
      <c r="U68" s="182">
        <v>19</v>
      </c>
      <c r="V68" s="182">
        <v>20</v>
      </c>
      <c r="W68" s="182">
        <v>21</v>
      </c>
      <c r="X68" s="182">
        <v>22</v>
      </c>
      <c r="Y68" s="182">
        <v>23</v>
      </c>
      <c r="Z68" s="182">
        <v>24</v>
      </c>
      <c r="AA68" s="182">
        <v>25</v>
      </c>
      <c r="AB68" s="182">
        <v>26</v>
      </c>
      <c r="AC68" s="182">
        <v>27</v>
      </c>
      <c r="AD68" s="182">
        <v>28</v>
      </c>
      <c r="AE68" s="182">
        <v>29</v>
      </c>
      <c r="AF68" s="182">
        <v>30</v>
      </c>
      <c r="AG68" s="182">
        <v>31</v>
      </c>
      <c r="AH68" s="182">
        <v>32</v>
      </c>
      <c r="AI68" s="182">
        <v>33</v>
      </c>
      <c r="AJ68" s="185">
        <v>34</v>
      </c>
      <c r="AK68" s="185">
        <v>35</v>
      </c>
      <c r="AL68" s="185">
        <v>36</v>
      </c>
      <c r="AM68" s="185">
        <v>37</v>
      </c>
      <c r="AN68" s="182">
        <f>SUM(C68:AM68)</f>
        <v>701</v>
      </c>
    </row>
    <row r="69" spans="1:40" x14ac:dyDescent="0.2">
      <c r="A69" s="26" t="s">
        <v>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1:40" x14ac:dyDescent="0.2">
      <c r="A70" s="6" t="s">
        <v>370</v>
      </c>
      <c r="B70" s="4"/>
      <c r="C70" s="27">
        <v>1</v>
      </c>
      <c r="D70" s="27">
        <v>2</v>
      </c>
      <c r="E70" s="27">
        <v>3</v>
      </c>
      <c r="F70" s="27">
        <v>4</v>
      </c>
      <c r="G70" s="27">
        <v>5</v>
      </c>
      <c r="H70" s="27">
        <v>6</v>
      </c>
      <c r="I70" s="27">
        <v>7</v>
      </c>
      <c r="J70" s="27">
        <v>8</v>
      </c>
      <c r="K70" s="27">
        <v>9</v>
      </c>
      <c r="L70" s="27">
        <v>10</v>
      </c>
      <c r="O70" s="172">
        <v>1</v>
      </c>
      <c r="P70" s="172">
        <v>2</v>
      </c>
      <c r="Q70" s="172">
        <v>3</v>
      </c>
      <c r="R70" s="172">
        <v>4</v>
      </c>
      <c r="S70" s="172">
        <v>5</v>
      </c>
      <c r="T70" s="172">
        <v>6</v>
      </c>
      <c r="U70" s="172">
        <v>7</v>
      </c>
      <c r="V70" s="172">
        <v>8</v>
      </c>
      <c r="W70" s="172">
        <v>9</v>
      </c>
      <c r="X70" s="172">
        <v>10</v>
      </c>
    </row>
    <row r="71" spans="1:40" ht="32.4" x14ac:dyDescent="0.2">
      <c r="A71" s="12" t="str">
        <f>A31</f>
        <v>【年代別】</v>
      </c>
      <c r="B71" s="59" t="str">
        <f>B22</f>
        <v>調査数</v>
      </c>
      <c r="C71" s="60" t="str">
        <f t="shared" ref="C71:L71" si="26">C51</f>
        <v>防災対策</v>
      </c>
      <c r="D71" s="61" t="str">
        <f t="shared" si="26"/>
        <v>高齢者福祉</v>
      </c>
      <c r="E71" s="61" t="str">
        <f t="shared" si="26"/>
        <v>子育て支援</v>
      </c>
      <c r="F71" s="61" t="str">
        <f t="shared" si="26"/>
        <v>地域医療の確保</v>
      </c>
      <c r="G71" s="61" t="str">
        <f t="shared" si="26"/>
        <v>少子化対策</v>
      </c>
      <c r="H71" s="61" t="str">
        <f t="shared" si="26"/>
        <v>若者の県内定着</v>
      </c>
      <c r="I71" s="62" t="str">
        <f t="shared" si="26"/>
        <v>公共交通の充実</v>
      </c>
      <c r="J71" s="61" t="str">
        <f t="shared" si="26"/>
        <v>学校教育の充実</v>
      </c>
      <c r="K71" s="62" t="str">
        <f t="shared" si="26"/>
        <v>就労支援</v>
      </c>
      <c r="L71" s="63" t="str">
        <f t="shared" si="26"/>
        <v>防犯・交通安全対策</v>
      </c>
      <c r="M71" s="44" t="s">
        <v>32</v>
      </c>
      <c r="N71" s="12" t="str">
        <f>A71</f>
        <v>【年代別】</v>
      </c>
      <c r="O71" s="60" t="str">
        <f t="shared" ref="O71:X71" si="27">C71</f>
        <v>防災対策</v>
      </c>
      <c r="P71" s="61" t="str">
        <f t="shared" si="27"/>
        <v>高齢者福祉</v>
      </c>
      <c r="Q71" s="61" t="str">
        <f t="shared" si="27"/>
        <v>子育て支援</v>
      </c>
      <c r="R71" s="61" t="str">
        <f t="shared" si="27"/>
        <v>地域医療の確保</v>
      </c>
      <c r="S71" s="61" t="str">
        <f t="shared" si="27"/>
        <v>少子化対策</v>
      </c>
      <c r="T71" s="61" t="str">
        <f t="shared" si="27"/>
        <v>若者の県内定着</v>
      </c>
      <c r="U71" s="61" t="str">
        <f t="shared" si="27"/>
        <v>公共交通の充実</v>
      </c>
      <c r="V71" s="61" t="str">
        <f t="shared" si="27"/>
        <v>学校教育の充実</v>
      </c>
      <c r="W71" s="62" t="str">
        <f t="shared" si="27"/>
        <v>就労支援</v>
      </c>
      <c r="X71" s="63" t="str">
        <f t="shared" si="27"/>
        <v>防犯・交通安全対策</v>
      </c>
    </row>
    <row r="72" spans="1:40" ht="12.75" customHeight="1" x14ac:dyDescent="0.2">
      <c r="A72" s="269" t="str">
        <f>A32</f>
        <v>全体(n = 1,616 )　　</v>
      </c>
      <c r="B72" s="224" t="str">
        <f t="shared" ref="B72:B87" si="28">B32</f>
        <v>1,616</v>
      </c>
      <c r="C72" s="121">
        <f t="shared" ref="C72:L72" si="29">C52</f>
        <v>504</v>
      </c>
      <c r="D72" s="122">
        <f t="shared" si="29"/>
        <v>504</v>
      </c>
      <c r="E72" s="122">
        <f t="shared" si="29"/>
        <v>438</v>
      </c>
      <c r="F72" s="122">
        <f t="shared" si="29"/>
        <v>396</v>
      </c>
      <c r="G72" s="122">
        <f t="shared" si="29"/>
        <v>388</v>
      </c>
      <c r="H72" s="122">
        <f t="shared" si="29"/>
        <v>330</v>
      </c>
      <c r="I72" s="123">
        <f t="shared" si="29"/>
        <v>300</v>
      </c>
      <c r="J72" s="122">
        <f t="shared" si="29"/>
        <v>237</v>
      </c>
      <c r="K72" s="123">
        <f t="shared" si="29"/>
        <v>223</v>
      </c>
      <c r="L72" s="124">
        <f t="shared" si="29"/>
        <v>210</v>
      </c>
      <c r="N72" s="93" t="str">
        <f>A74</f>
        <v>18～19歳(n = 21 )　　</v>
      </c>
      <c r="O72" s="84">
        <f t="shared" ref="O72:X72" si="30">C75</f>
        <v>23.809523809523807</v>
      </c>
      <c r="P72" s="85">
        <f t="shared" si="30"/>
        <v>4.7619047619047619</v>
      </c>
      <c r="Q72" s="85">
        <f t="shared" si="30"/>
        <v>23.809523809523807</v>
      </c>
      <c r="R72" s="85">
        <f t="shared" si="30"/>
        <v>0</v>
      </c>
      <c r="S72" s="85">
        <f t="shared" si="30"/>
        <v>28.571428571428569</v>
      </c>
      <c r="T72" s="85">
        <f t="shared" si="30"/>
        <v>23.809523809523807</v>
      </c>
      <c r="U72" s="85">
        <f t="shared" si="30"/>
        <v>23.809523809523807</v>
      </c>
      <c r="V72" s="85">
        <f t="shared" si="30"/>
        <v>9.5238095238095237</v>
      </c>
      <c r="W72" s="86">
        <f t="shared" si="30"/>
        <v>14.285714285714285</v>
      </c>
      <c r="X72" s="87">
        <f t="shared" si="30"/>
        <v>9.5238095238095237</v>
      </c>
    </row>
    <row r="73" spans="1:40" ht="12.75" customHeight="1" x14ac:dyDescent="0.2">
      <c r="A73" s="270"/>
      <c r="B73" s="114">
        <f t="shared" si="28"/>
        <v>100</v>
      </c>
      <c r="C73" s="125">
        <f t="shared" ref="C73:L73" si="31">C53</f>
        <v>31.188118811881189</v>
      </c>
      <c r="D73" s="126">
        <f t="shared" si="31"/>
        <v>31.188118811881189</v>
      </c>
      <c r="E73" s="126">
        <f t="shared" si="31"/>
        <v>27.103960396039607</v>
      </c>
      <c r="F73" s="126">
        <f t="shared" si="31"/>
        <v>24.504950495049506</v>
      </c>
      <c r="G73" s="126">
        <f t="shared" si="31"/>
        <v>24.009900990099009</v>
      </c>
      <c r="H73" s="126">
        <f t="shared" si="31"/>
        <v>20.420792079207921</v>
      </c>
      <c r="I73" s="127">
        <f t="shared" si="31"/>
        <v>18.564356435643564</v>
      </c>
      <c r="J73" s="126">
        <f t="shared" si="31"/>
        <v>14.665841584158414</v>
      </c>
      <c r="K73" s="127">
        <f t="shared" si="31"/>
        <v>13.79950495049505</v>
      </c>
      <c r="L73" s="128">
        <f t="shared" si="31"/>
        <v>12.995049504950495</v>
      </c>
      <c r="N73" s="95" t="str">
        <f>A76</f>
        <v>20～29歳(n = 119 )　　</v>
      </c>
      <c r="O73" s="88">
        <f t="shared" ref="O73:X73" si="32">C77</f>
        <v>22.689075630252102</v>
      </c>
      <c r="P73" s="89">
        <f t="shared" si="32"/>
        <v>14.285714285714285</v>
      </c>
      <c r="Q73" s="89">
        <f t="shared" si="32"/>
        <v>44.537815126050425</v>
      </c>
      <c r="R73" s="89">
        <f t="shared" si="32"/>
        <v>11.76470588235294</v>
      </c>
      <c r="S73" s="89">
        <f t="shared" si="32"/>
        <v>33.613445378151262</v>
      </c>
      <c r="T73" s="89">
        <f t="shared" si="32"/>
        <v>30.252100840336134</v>
      </c>
      <c r="U73" s="89">
        <f t="shared" si="32"/>
        <v>21.008403361344538</v>
      </c>
      <c r="V73" s="89">
        <f t="shared" si="32"/>
        <v>18.487394957983195</v>
      </c>
      <c r="W73" s="90">
        <f t="shared" si="32"/>
        <v>21.84873949579832</v>
      </c>
      <c r="X73" s="91">
        <f t="shared" si="32"/>
        <v>7.5630252100840334</v>
      </c>
    </row>
    <row r="74" spans="1:40" ht="12.75" customHeight="1" x14ac:dyDescent="0.2">
      <c r="A74" s="269" t="str">
        <f>A34</f>
        <v>18～19歳(n = 21 )　　</v>
      </c>
      <c r="B74" s="113">
        <f t="shared" si="28"/>
        <v>21</v>
      </c>
      <c r="C74" s="129">
        <f t="shared" ref="C74:L74" si="33">C54</f>
        <v>5</v>
      </c>
      <c r="D74" s="130">
        <f t="shared" si="33"/>
        <v>1</v>
      </c>
      <c r="E74" s="130">
        <f t="shared" si="33"/>
        <v>5</v>
      </c>
      <c r="F74" s="130">
        <f t="shared" si="33"/>
        <v>0</v>
      </c>
      <c r="G74" s="130">
        <f t="shared" si="33"/>
        <v>6</v>
      </c>
      <c r="H74" s="130">
        <f t="shared" si="33"/>
        <v>5</v>
      </c>
      <c r="I74" s="140">
        <f t="shared" si="33"/>
        <v>5</v>
      </c>
      <c r="J74" s="130">
        <f t="shared" si="33"/>
        <v>2</v>
      </c>
      <c r="K74" s="140">
        <f t="shared" si="33"/>
        <v>3</v>
      </c>
      <c r="L74" s="131">
        <f t="shared" si="33"/>
        <v>2</v>
      </c>
      <c r="N74" s="95" t="str">
        <f>A78</f>
        <v>30～39歳(n = 196 )　　</v>
      </c>
      <c r="O74" s="88">
        <f t="shared" ref="O74:X74" si="34">C79</f>
        <v>23.979591836734691</v>
      </c>
      <c r="P74" s="89">
        <f t="shared" si="34"/>
        <v>17.857142857142858</v>
      </c>
      <c r="Q74" s="89">
        <f t="shared" si="34"/>
        <v>50</v>
      </c>
      <c r="R74" s="89">
        <f t="shared" si="34"/>
        <v>20.918367346938776</v>
      </c>
      <c r="S74" s="89">
        <f t="shared" si="34"/>
        <v>38.775510204081634</v>
      </c>
      <c r="T74" s="89">
        <f t="shared" si="34"/>
        <v>21.428571428571427</v>
      </c>
      <c r="U74" s="89">
        <f t="shared" si="34"/>
        <v>12.244897959183673</v>
      </c>
      <c r="V74" s="89">
        <f t="shared" si="34"/>
        <v>23.469387755102041</v>
      </c>
      <c r="W74" s="90">
        <f t="shared" si="34"/>
        <v>17.346938775510203</v>
      </c>
      <c r="X74" s="91">
        <f t="shared" si="34"/>
        <v>10.204081632653061</v>
      </c>
    </row>
    <row r="75" spans="1:40" ht="12.75" customHeight="1" x14ac:dyDescent="0.2">
      <c r="A75" s="270"/>
      <c r="B75" s="114">
        <f t="shared" si="28"/>
        <v>1.2995049504950495</v>
      </c>
      <c r="C75" s="125">
        <f t="shared" ref="C75:L75" si="35">C55</f>
        <v>23.809523809523807</v>
      </c>
      <c r="D75" s="126">
        <f t="shared" si="35"/>
        <v>4.7619047619047619</v>
      </c>
      <c r="E75" s="126">
        <f t="shared" si="35"/>
        <v>23.809523809523807</v>
      </c>
      <c r="F75" s="126">
        <f t="shared" si="35"/>
        <v>0</v>
      </c>
      <c r="G75" s="126">
        <f t="shared" si="35"/>
        <v>28.571428571428569</v>
      </c>
      <c r="H75" s="126">
        <f t="shared" si="35"/>
        <v>23.809523809523807</v>
      </c>
      <c r="I75" s="127">
        <f t="shared" si="35"/>
        <v>23.809523809523807</v>
      </c>
      <c r="J75" s="126">
        <f t="shared" si="35"/>
        <v>9.5238095238095237</v>
      </c>
      <c r="K75" s="127">
        <f t="shared" si="35"/>
        <v>14.285714285714285</v>
      </c>
      <c r="L75" s="128">
        <f t="shared" si="35"/>
        <v>9.5238095238095237</v>
      </c>
      <c r="N75" s="95" t="str">
        <f>A80</f>
        <v>40～49歳(n = 281 )　　</v>
      </c>
      <c r="O75" s="88">
        <f t="shared" ref="O75:X75" si="36">C81</f>
        <v>28.825622775800714</v>
      </c>
      <c r="P75" s="89">
        <f t="shared" si="36"/>
        <v>29.181494661921707</v>
      </c>
      <c r="Q75" s="89">
        <f t="shared" si="36"/>
        <v>40.92526690391459</v>
      </c>
      <c r="R75" s="89">
        <f t="shared" si="36"/>
        <v>25.622775800711743</v>
      </c>
      <c r="S75" s="89">
        <f t="shared" si="36"/>
        <v>25.622775800711743</v>
      </c>
      <c r="T75" s="89">
        <f t="shared" si="36"/>
        <v>18.14946619217082</v>
      </c>
      <c r="U75" s="89">
        <f t="shared" si="36"/>
        <v>19.9288256227758</v>
      </c>
      <c r="V75" s="89">
        <f t="shared" si="36"/>
        <v>20.996441281138789</v>
      </c>
      <c r="W75" s="90">
        <f t="shared" si="36"/>
        <v>16.370106761565836</v>
      </c>
      <c r="X75" s="91">
        <f t="shared" si="36"/>
        <v>10.676156583629894</v>
      </c>
    </row>
    <row r="76" spans="1:40" ht="12.75" customHeight="1" x14ac:dyDescent="0.2">
      <c r="A76" s="269" t="str">
        <f>A36</f>
        <v>20～29歳(n = 119 )　　</v>
      </c>
      <c r="B76" s="113">
        <f t="shared" si="28"/>
        <v>119</v>
      </c>
      <c r="C76" s="129">
        <f t="shared" ref="C76:L76" si="37">C56</f>
        <v>27</v>
      </c>
      <c r="D76" s="130">
        <f t="shared" si="37"/>
        <v>17</v>
      </c>
      <c r="E76" s="130">
        <f t="shared" si="37"/>
        <v>53</v>
      </c>
      <c r="F76" s="130">
        <f t="shared" si="37"/>
        <v>14</v>
      </c>
      <c r="G76" s="130">
        <f t="shared" si="37"/>
        <v>40</v>
      </c>
      <c r="H76" s="130">
        <f t="shared" si="37"/>
        <v>36</v>
      </c>
      <c r="I76" s="140">
        <f t="shared" si="37"/>
        <v>25</v>
      </c>
      <c r="J76" s="130">
        <f t="shared" si="37"/>
        <v>22</v>
      </c>
      <c r="K76" s="140">
        <f t="shared" si="37"/>
        <v>26</v>
      </c>
      <c r="L76" s="131">
        <f t="shared" si="37"/>
        <v>9</v>
      </c>
      <c r="N76" s="95" t="str">
        <f>A82</f>
        <v>50～59歳(n = 320 )　　</v>
      </c>
      <c r="O76" s="88">
        <f t="shared" ref="O76:X76" si="38">C83</f>
        <v>33.75</v>
      </c>
      <c r="P76" s="89">
        <f t="shared" si="38"/>
        <v>29.062500000000004</v>
      </c>
      <c r="Q76" s="89">
        <f t="shared" si="38"/>
        <v>18.4375</v>
      </c>
      <c r="R76" s="89">
        <f t="shared" si="38"/>
        <v>25.937500000000004</v>
      </c>
      <c r="S76" s="89">
        <f t="shared" si="38"/>
        <v>19.375</v>
      </c>
      <c r="T76" s="89">
        <f t="shared" si="38"/>
        <v>18.75</v>
      </c>
      <c r="U76" s="89">
        <f t="shared" si="38"/>
        <v>18.75</v>
      </c>
      <c r="V76" s="89">
        <f t="shared" si="38"/>
        <v>12.1875</v>
      </c>
      <c r="W76" s="90">
        <f t="shared" si="38"/>
        <v>14.6875</v>
      </c>
      <c r="X76" s="91">
        <f t="shared" si="38"/>
        <v>14.374999999999998</v>
      </c>
    </row>
    <row r="77" spans="1:40" ht="12.75" customHeight="1" x14ac:dyDescent="0.2">
      <c r="A77" s="270"/>
      <c r="B77" s="114">
        <f t="shared" si="28"/>
        <v>7.3638613861386135</v>
      </c>
      <c r="C77" s="125">
        <f t="shared" ref="C77:L77" si="39">C57</f>
        <v>22.689075630252102</v>
      </c>
      <c r="D77" s="126">
        <f t="shared" si="39"/>
        <v>14.285714285714285</v>
      </c>
      <c r="E77" s="126">
        <f t="shared" si="39"/>
        <v>44.537815126050425</v>
      </c>
      <c r="F77" s="126">
        <f t="shared" si="39"/>
        <v>11.76470588235294</v>
      </c>
      <c r="G77" s="126">
        <f t="shared" si="39"/>
        <v>33.613445378151262</v>
      </c>
      <c r="H77" s="126">
        <f t="shared" si="39"/>
        <v>30.252100840336134</v>
      </c>
      <c r="I77" s="127">
        <f t="shared" si="39"/>
        <v>21.008403361344538</v>
      </c>
      <c r="J77" s="126">
        <f t="shared" si="39"/>
        <v>18.487394957983195</v>
      </c>
      <c r="K77" s="127">
        <f t="shared" si="39"/>
        <v>21.84873949579832</v>
      </c>
      <c r="L77" s="128">
        <f t="shared" si="39"/>
        <v>7.5630252100840334</v>
      </c>
      <c r="N77" s="95" t="str">
        <f>A84</f>
        <v>60～69歳(n = 352 )　　</v>
      </c>
      <c r="O77" s="88">
        <f t="shared" ref="O77:X77" si="40">C85</f>
        <v>34.659090909090914</v>
      </c>
      <c r="P77" s="89">
        <f t="shared" si="40"/>
        <v>40.625</v>
      </c>
      <c r="Q77" s="89">
        <f t="shared" si="40"/>
        <v>18.181818181818183</v>
      </c>
      <c r="R77" s="89">
        <f t="shared" si="40"/>
        <v>26.136363636363637</v>
      </c>
      <c r="S77" s="89">
        <f t="shared" si="40"/>
        <v>19.886363636363637</v>
      </c>
      <c r="T77" s="89">
        <f t="shared" si="40"/>
        <v>17.613636363636363</v>
      </c>
      <c r="U77" s="89">
        <f t="shared" si="40"/>
        <v>18.75</v>
      </c>
      <c r="V77" s="89">
        <f t="shared" si="40"/>
        <v>9.6590909090909083</v>
      </c>
      <c r="W77" s="90">
        <f t="shared" si="40"/>
        <v>11.079545454545455</v>
      </c>
      <c r="X77" s="91">
        <f t="shared" si="40"/>
        <v>12.784090909090908</v>
      </c>
    </row>
    <row r="78" spans="1:40" ht="13.5" customHeight="1" x14ac:dyDescent="0.2">
      <c r="A78" s="269" t="str">
        <f>A38</f>
        <v>30～39歳(n = 196 )　　</v>
      </c>
      <c r="B78" s="113">
        <f t="shared" si="28"/>
        <v>196</v>
      </c>
      <c r="C78" s="129">
        <f t="shared" ref="C78:L78" si="41">C58</f>
        <v>47</v>
      </c>
      <c r="D78" s="130">
        <f t="shared" si="41"/>
        <v>35</v>
      </c>
      <c r="E78" s="130">
        <f t="shared" si="41"/>
        <v>98</v>
      </c>
      <c r="F78" s="130">
        <f t="shared" si="41"/>
        <v>41</v>
      </c>
      <c r="G78" s="130">
        <f t="shared" si="41"/>
        <v>76</v>
      </c>
      <c r="H78" s="130">
        <f t="shared" si="41"/>
        <v>42</v>
      </c>
      <c r="I78" s="140">
        <f t="shared" si="41"/>
        <v>24</v>
      </c>
      <c r="J78" s="130">
        <f t="shared" si="41"/>
        <v>46</v>
      </c>
      <c r="K78" s="140">
        <f t="shared" si="41"/>
        <v>34</v>
      </c>
      <c r="L78" s="131">
        <f t="shared" si="41"/>
        <v>20</v>
      </c>
      <c r="N78" s="94" t="str">
        <f>A86</f>
        <v>70歳以上(n = 315 )　　</v>
      </c>
      <c r="O78" s="78">
        <f t="shared" ref="O78:X78" si="42">C87</f>
        <v>34.920634920634917</v>
      </c>
      <c r="P78" s="79">
        <f t="shared" si="42"/>
        <v>40.317460317460316</v>
      </c>
      <c r="Q78" s="79">
        <f t="shared" si="42"/>
        <v>13.65079365079365</v>
      </c>
      <c r="R78" s="79">
        <f t="shared" si="42"/>
        <v>28.571428571428569</v>
      </c>
      <c r="S78" s="79">
        <f t="shared" si="42"/>
        <v>18.730158730158731</v>
      </c>
      <c r="T78" s="79">
        <f t="shared" si="42"/>
        <v>22.539682539682541</v>
      </c>
      <c r="U78" s="79">
        <f t="shared" si="42"/>
        <v>19.682539682539684</v>
      </c>
      <c r="V78" s="79">
        <f t="shared" si="42"/>
        <v>10.793650793650794</v>
      </c>
      <c r="W78" s="80">
        <f t="shared" si="42"/>
        <v>8.2539682539682531</v>
      </c>
      <c r="X78" s="81">
        <f t="shared" si="42"/>
        <v>17.460317460317459</v>
      </c>
    </row>
    <row r="79" spans="1:40" x14ac:dyDescent="0.2">
      <c r="A79" s="270"/>
      <c r="B79" s="114">
        <f t="shared" si="28"/>
        <v>12.128712871287128</v>
      </c>
      <c r="C79" s="125">
        <f t="shared" ref="C79:L79" si="43">C59</f>
        <v>23.979591836734691</v>
      </c>
      <c r="D79" s="126">
        <f t="shared" si="43"/>
        <v>17.857142857142858</v>
      </c>
      <c r="E79" s="126">
        <f t="shared" si="43"/>
        <v>50</v>
      </c>
      <c r="F79" s="126">
        <f t="shared" si="43"/>
        <v>20.918367346938776</v>
      </c>
      <c r="G79" s="126">
        <f t="shared" si="43"/>
        <v>38.775510204081634</v>
      </c>
      <c r="H79" s="126">
        <f t="shared" si="43"/>
        <v>21.428571428571427</v>
      </c>
      <c r="I79" s="127">
        <f t="shared" si="43"/>
        <v>12.244897959183673</v>
      </c>
      <c r="J79" s="126">
        <f t="shared" si="43"/>
        <v>23.469387755102041</v>
      </c>
      <c r="K79" s="127">
        <f t="shared" si="43"/>
        <v>17.346938775510203</v>
      </c>
      <c r="L79" s="128">
        <f t="shared" si="43"/>
        <v>10.204081632653061</v>
      </c>
    </row>
    <row r="80" spans="1:40" x14ac:dyDescent="0.2">
      <c r="A80" s="269" t="str">
        <f>A40</f>
        <v>40～49歳(n = 281 )　　</v>
      </c>
      <c r="B80" s="113">
        <f t="shared" si="28"/>
        <v>281</v>
      </c>
      <c r="C80" s="129">
        <f t="shared" ref="C80:L80" si="44">C60</f>
        <v>81</v>
      </c>
      <c r="D80" s="130">
        <f t="shared" si="44"/>
        <v>82</v>
      </c>
      <c r="E80" s="130">
        <f t="shared" si="44"/>
        <v>115</v>
      </c>
      <c r="F80" s="130">
        <f t="shared" si="44"/>
        <v>72</v>
      </c>
      <c r="G80" s="130">
        <f t="shared" si="44"/>
        <v>72</v>
      </c>
      <c r="H80" s="130">
        <f t="shared" si="44"/>
        <v>51</v>
      </c>
      <c r="I80" s="140">
        <f t="shared" si="44"/>
        <v>56</v>
      </c>
      <c r="J80" s="130">
        <f t="shared" si="44"/>
        <v>59</v>
      </c>
      <c r="K80" s="140">
        <f t="shared" si="44"/>
        <v>46</v>
      </c>
      <c r="L80" s="131">
        <f t="shared" si="44"/>
        <v>30</v>
      </c>
    </row>
    <row r="81" spans="1:43" x14ac:dyDescent="0.2">
      <c r="A81" s="270"/>
      <c r="B81" s="114">
        <f t="shared" si="28"/>
        <v>17.388613861386137</v>
      </c>
      <c r="C81" s="125">
        <f t="shared" ref="C81:L81" si="45">C61</f>
        <v>28.825622775800714</v>
      </c>
      <c r="D81" s="126">
        <f t="shared" si="45"/>
        <v>29.181494661921707</v>
      </c>
      <c r="E81" s="126">
        <f t="shared" si="45"/>
        <v>40.92526690391459</v>
      </c>
      <c r="F81" s="126">
        <f t="shared" si="45"/>
        <v>25.622775800711743</v>
      </c>
      <c r="G81" s="126">
        <f t="shared" si="45"/>
        <v>25.622775800711743</v>
      </c>
      <c r="H81" s="126">
        <f t="shared" si="45"/>
        <v>18.14946619217082</v>
      </c>
      <c r="I81" s="127">
        <f t="shared" si="45"/>
        <v>19.9288256227758</v>
      </c>
      <c r="J81" s="126">
        <f t="shared" si="45"/>
        <v>20.996441281138789</v>
      </c>
      <c r="K81" s="127">
        <f t="shared" si="45"/>
        <v>16.370106761565836</v>
      </c>
      <c r="L81" s="128">
        <f t="shared" si="45"/>
        <v>10.676156583629894</v>
      </c>
    </row>
    <row r="82" spans="1:43" x14ac:dyDescent="0.2">
      <c r="A82" s="269" t="str">
        <f>A42</f>
        <v>50～59歳(n = 320 )　　</v>
      </c>
      <c r="B82" s="113">
        <f t="shared" si="28"/>
        <v>320</v>
      </c>
      <c r="C82" s="129">
        <f t="shared" ref="C82:L82" si="46">C62</f>
        <v>108</v>
      </c>
      <c r="D82" s="130">
        <f t="shared" si="46"/>
        <v>93</v>
      </c>
      <c r="E82" s="130">
        <f t="shared" si="46"/>
        <v>59</v>
      </c>
      <c r="F82" s="130">
        <f t="shared" si="46"/>
        <v>83</v>
      </c>
      <c r="G82" s="130">
        <f t="shared" si="46"/>
        <v>62</v>
      </c>
      <c r="H82" s="130">
        <f t="shared" si="46"/>
        <v>60</v>
      </c>
      <c r="I82" s="140">
        <f t="shared" si="46"/>
        <v>60</v>
      </c>
      <c r="J82" s="130">
        <f t="shared" si="46"/>
        <v>39</v>
      </c>
      <c r="K82" s="140">
        <f t="shared" si="46"/>
        <v>47</v>
      </c>
      <c r="L82" s="131">
        <f t="shared" si="46"/>
        <v>46</v>
      </c>
    </row>
    <row r="83" spans="1:43" x14ac:dyDescent="0.2">
      <c r="A83" s="270"/>
      <c r="B83" s="114">
        <f t="shared" si="28"/>
        <v>19.801980198019802</v>
      </c>
      <c r="C83" s="125">
        <f t="shared" ref="C83:L83" si="47">C63</f>
        <v>33.75</v>
      </c>
      <c r="D83" s="126">
        <f t="shared" si="47"/>
        <v>29.062500000000004</v>
      </c>
      <c r="E83" s="126">
        <f t="shared" si="47"/>
        <v>18.4375</v>
      </c>
      <c r="F83" s="126">
        <f t="shared" si="47"/>
        <v>25.937500000000004</v>
      </c>
      <c r="G83" s="126">
        <f t="shared" si="47"/>
        <v>19.375</v>
      </c>
      <c r="H83" s="126">
        <f t="shared" si="47"/>
        <v>18.75</v>
      </c>
      <c r="I83" s="127">
        <f t="shared" si="47"/>
        <v>18.75</v>
      </c>
      <c r="J83" s="126">
        <f t="shared" si="47"/>
        <v>12.1875</v>
      </c>
      <c r="K83" s="127">
        <f t="shared" si="47"/>
        <v>14.6875</v>
      </c>
      <c r="L83" s="128">
        <f t="shared" si="47"/>
        <v>14.374999999999998</v>
      </c>
    </row>
    <row r="84" spans="1:43" x14ac:dyDescent="0.2">
      <c r="A84" s="269" t="str">
        <f>A44</f>
        <v>60～69歳(n = 352 )　　</v>
      </c>
      <c r="B84" s="113">
        <f t="shared" si="28"/>
        <v>352</v>
      </c>
      <c r="C84" s="129">
        <f t="shared" ref="C84:L84" si="48">C64</f>
        <v>122</v>
      </c>
      <c r="D84" s="130">
        <f t="shared" si="48"/>
        <v>143</v>
      </c>
      <c r="E84" s="130">
        <f t="shared" si="48"/>
        <v>64</v>
      </c>
      <c r="F84" s="130">
        <f t="shared" si="48"/>
        <v>92</v>
      </c>
      <c r="G84" s="130">
        <f t="shared" si="48"/>
        <v>70</v>
      </c>
      <c r="H84" s="130">
        <f t="shared" si="48"/>
        <v>62</v>
      </c>
      <c r="I84" s="140">
        <f t="shared" si="48"/>
        <v>66</v>
      </c>
      <c r="J84" s="130">
        <f t="shared" si="48"/>
        <v>34</v>
      </c>
      <c r="K84" s="140">
        <f t="shared" si="48"/>
        <v>39</v>
      </c>
      <c r="L84" s="131">
        <f t="shared" si="48"/>
        <v>45</v>
      </c>
    </row>
    <row r="85" spans="1:43" x14ac:dyDescent="0.2">
      <c r="A85" s="270"/>
      <c r="B85" s="114">
        <f t="shared" si="28"/>
        <v>21.782178217821784</v>
      </c>
      <c r="C85" s="125">
        <f t="shared" ref="C85:L85" si="49">C65</f>
        <v>34.659090909090914</v>
      </c>
      <c r="D85" s="126">
        <f t="shared" si="49"/>
        <v>40.625</v>
      </c>
      <c r="E85" s="126">
        <f t="shared" si="49"/>
        <v>18.181818181818183</v>
      </c>
      <c r="F85" s="126">
        <f t="shared" si="49"/>
        <v>26.136363636363637</v>
      </c>
      <c r="G85" s="126">
        <f t="shared" si="49"/>
        <v>19.886363636363637</v>
      </c>
      <c r="H85" s="126">
        <f t="shared" si="49"/>
        <v>17.613636363636363</v>
      </c>
      <c r="I85" s="127">
        <f t="shared" si="49"/>
        <v>18.75</v>
      </c>
      <c r="J85" s="126">
        <f t="shared" si="49"/>
        <v>9.6590909090909083</v>
      </c>
      <c r="K85" s="127">
        <f t="shared" si="49"/>
        <v>11.079545454545455</v>
      </c>
      <c r="L85" s="128">
        <f t="shared" si="49"/>
        <v>12.784090909090908</v>
      </c>
    </row>
    <row r="86" spans="1:43" x14ac:dyDescent="0.2">
      <c r="A86" s="269" t="str">
        <f>A46</f>
        <v>70歳以上(n = 315 )　　</v>
      </c>
      <c r="B86" s="113">
        <f t="shared" si="28"/>
        <v>315</v>
      </c>
      <c r="C86" s="129">
        <f t="shared" ref="C86:L86" si="50">C66</f>
        <v>110</v>
      </c>
      <c r="D86" s="130">
        <f t="shared" si="50"/>
        <v>127</v>
      </c>
      <c r="E86" s="130">
        <f t="shared" si="50"/>
        <v>43</v>
      </c>
      <c r="F86" s="130">
        <f t="shared" si="50"/>
        <v>90</v>
      </c>
      <c r="G86" s="130">
        <f t="shared" si="50"/>
        <v>59</v>
      </c>
      <c r="H86" s="130">
        <f t="shared" si="50"/>
        <v>71</v>
      </c>
      <c r="I86" s="140">
        <f t="shared" si="50"/>
        <v>62</v>
      </c>
      <c r="J86" s="130">
        <f t="shared" si="50"/>
        <v>34</v>
      </c>
      <c r="K86" s="140">
        <f t="shared" si="50"/>
        <v>26</v>
      </c>
      <c r="L86" s="131">
        <f t="shared" si="50"/>
        <v>55</v>
      </c>
    </row>
    <row r="87" spans="1:43" x14ac:dyDescent="0.2">
      <c r="A87" s="270"/>
      <c r="B87" s="114">
        <f t="shared" si="28"/>
        <v>19.492574257425744</v>
      </c>
      <c r="C87" s="125">
        <f t="shared" ref="C87:L87" si="51">C67</f>
        <v>34.920634920634917</v>
      </c>
      <c r="D87" s="126">
        <f t="shared" si="51"/>
        <v>40.317460317460316</v>
      </c>
      <c r="E87" s="126">
        <f t="shared" si="51"/>
        <v>13.65079365079365</v>
      </c>
      <c r="F87" s="126">
        <f t="shared" si="51"/>
        <v>28.571428571428569</v>
      </c>
      <c r="G87" s="126">
        <f t="shared" si="51"/>
        <v>18.730158730158731</v>
      </c>
      <c r="H87" s="126">
        <f t="shared" si="51"/>
        <v>22.539682539682541</v>
      </c>
      <c r="I87" s="127">
        <f t="shared" si="51"/>
        <v>19.682539682539684</v>
      </c>
      <c r="J87" s="126">
        <f t="shared" si="51"/>
        <v>10.793650793650794</v>
      </c>
      <c r="K87" s="127">
        <f t="shared" si="51"/>
        <v>8.2539682539682531</v>
      </c>
      <c r="L87" s="128">
        <f t="shared" si="51"/>
        <v>17.460317460317459</v>
      </c>
    </row>
    <row r="89" spans="1:43" x14ac:dyDescent="0.2">
      <c r="A89" s="3" t="s">
        <v>421</v>
      </c>
      <c r="B89" s="1" t="str">
        <f>B30</f>
        <v>重点的に進めるべきだと思う分野</v>
      </c>
      <c r="C89" s="8"/>
      <c r="D89" s="9"/>
      <c r="E89" s="8"/>
      <c r="F89" s="8"/>
      <c r="G89" s="8"/>
      <c r="H89" s="9" t="s">
        <v>1</v>
      </c>
      <c r="I89" s="8"/>
      <c r="J89" s="8"/>
      <c r="K89" s="8"/>
      <c r="L89" s="8"/>
      <c r="M89" s="9" t="s">
        <v>1</v>
      </c>
      <c r="N89" s="8"/>
      <c r="O89" s="8"/>
      <c r="P89" s="8"/>
      <c r="Q89" s="9" t="s">
        <v>1</v>
      </c>
      <c r="R89" s="8"/>
      <c r="S89" s="8"/>
      <c r="T89" s="8"/>
      <c r="U89" s="8"/>
      <c r="V89" s="9" t="s">
        <v>1</v>
      </c>
      <c r="W89" s="8"/>
      <c r="X89" s="8"/>
      <c r="Y89" s="8"/>
      <c r="Z89" s="9" t="s">
        <v>1</v>
      </c>
      <c r="AA89" s="8"/>
      <c r="AB89" s="8"/>
      <c r="AC89" s="8"/>
      <c r="AD89" s="8"/>
      <c r="AE89" s="9" t="s">
        <v>1</v>
      </c>
      <c r="AF89" s="8"/>
      <c r="AG89" s="8"/>
      <c r="AH89" s="8"/>
      <c r="AI89" s="9" t="s">
        <v>1</v>
      </c>
    </row>
    <row r="90" spans="1:43" ht="43.2" x14ac:dyDescent="0.2">
      <c r="A90" s="13" t="s">
        <v>27</v>
      </c>
      <c r="B90" s="59" t="str">
        <f>B31</f>
        <v>調査数</v>
      </c>
      <c r="C90" s="60" t="str">
        <f t="shared" ref="C90:AL90" si="52">C31</f>
        <v>防災対策</v>
      </c>
      <c r="D90" s="61" t="str">
        <f t="shared" si="52"/>
        <v>自然環境保全</v>
      </c>
      <c r="E90" s="61" t="str">
        <f t="shared" si="52"/>
        <v>住環境保全</v>
      </c>
      <c r="F90" s="61" t="str">
        <f t="shared" si="52"/>
        <v>廃棄物対策</v>
      </c>
      <c r="G90" s="61" t="str">
        <f t="shared" si="52"/>
        <v>消費者保護</v>
      </c>
      <c r="H90" s="61" t="str">
        <f t="shared" si="52"/>
        <v>防犯・交通安全対策</v>
      </c>
      <c r="I90" s="61" t="str">
        <f t="shared" si="52"/>
        <v>地域コミュニティの活性化</v>
      </c>
      <c r="J90" s="61" t="str">
        <f t="shared" si="52"/>
        <v>地域医療の確保</v>
      </c>
      <c r="K90" s="61" t="str">
        <f t="shared" si="52"/>
        <v>健康増進</v>
      </c>
      <c r="L90" s="61" t="str">
        <f t="shared" si="52"/>
        <v>食品の安全対策</v>
      </c>
      <c r="M90" s="61" t="str">
        <f t="shared" si="52"/>
        <v>薬物対策</v>
      </c>
      <c r="N90" s="61" t="str">
        <f t="shared" si="52"/>
        <v>高齢者福祉</v>
      </c>
      <c r="O90" s="61" t="str">
        <f t="shared" si="52"/>
        <v>障がい者福祉</v>
      </c>
      <c r="P90" s="61" t="str">
        <f t="shared" si="52"/>
        <v>少子化対策</v>
      </c>
      <c r="Q90" s="61" t="str">
        <f t="shared" si="52"/>
        <v>子育て支援</v>
      </c>
      <c r="R90" s="61" t="str">
        <f t="shared" si="52"/>
        <v>中小企業支援</v>
      </c>
      <c r="S90" s="61" t="str">
        <f t="shared" si="52"/>
        <v>企業誘致</v>
      </c>
      <c r="T90" s="61" t="str">
        <f t="shared" si="52"/>
        <v>成長産業分野の振興</v>
      </c>
      <c r="U90" s="61" t="str">
        <f t="shared" si="52"/>
        <v>観光振興</v>
      </c>
      <c r="V90" s="61" t="str">
        <f t="shared" si="52"/>
        <v>就労支援</v>
      </c>
      <c r="W90" s="61" t="str">
        <f t="shared" si="52"/>
        <v>労働環境改善</v>
      </c>
      <c r="X90" s="61" t="str">
        <f t="shared" si="52"/>
        <v>様々な産業を担う人材の育成</v>
      </c>
      <c r="Y90" s="61" t="str">
        <f t="shared" si="52"/>
        <v>女性の活躍推進</v>
      </c>
      <c r="Z90" s="61" t="str">
        <f t="shared" si="52"/>
        <v>農業等振興</v>
      </c>
      <c r="AA90" s="61" t="str">
        <f t="shared" si="52"/>
        <v>林業振興</v>
      </c>
      <c r="AB90" s="61" t="str">
        <f t="shared" si="52"/>
        <v>道路整備・維持管理</v>
      </c>
      <c r="AC90" s="61" t="str">
        <f t="shared" si="52"/>
        <v>河川整備・維持管理</v>
      </c>
      <c r="AD90" s="61" t="str">
        <f t="shared" si="52"/>
        <v>砂防対策</v>
      </c>
      <c r="AE90" s="61" t="str">
        <f t="shared" si="52"/>
        <v>公共交通の充実</v>
      </c>
      <c r="AF90" s="61" t="str">
        <f t="shared" si="52"/>
        <v>公園整備</v>
      </c>
      <c r="AG90" s="61" t="str">
        <f t="shared" si="52"/>
        <v>学校教育の充実</v>
      </c>
      <c r="AH90" s="61" t="str">
        <f t="shared" si="52"/>
        <v>社会教育・生涯学習の充実</v>
      </c>
      <c r="AI90" s="61" t="str">
        <f t="shared" si="52"/>
        <v>文化・芸術の振興</v>
      </c>
      <c r="AJ90" s="61" t="str">
        <f t="shared" si="52"/>
        <v>スポーツやレクリエーションの推進</v>
      </c>
      <c r="AK90" s="61" t="str">
        <f t="shared" si="52"/>
        <v>若者の県内定着</v>
      </c>
      <c r="AL90" s="61" t="str">
        <f t="shared" si="52"/>
        <v>県外からの移住・定住の推進</v>
      </c>
      <c r="AM90" s="63"/>
      <c r="AN90" s="5" t="s">
        <v>118</v>
      </c>
    </row>
    <row r="91" spans="1:43" x14ac:dyDescent="0.2">
      <c r="A91" s="269" t="str">
        <f>'問10-2M（表）'!A91</f>
        <v>全体(n = 1,616 )　　</v>
      </c>
      <c r="B91" s="227" t="str">
        <f>'問9S（表）'!B53</f>
        <v>1,616</v>
      </c>
      <c r="C91" s="31">
        <f>$C$3</f>
        <v>504</v>
      </c>
      <c r="D91" s="32">
        <f>$D$3</f>
        <v>161</v>
      </c>
      <c r="E91" s="32">
        <f>$E$3</f>
        <v>86</v>
      </c>
      <c r="F91" s="32">
        <f>$F$3</f>
        <v>165</v>
      </c>
      <c r="G91" s="32">
        <f>$G$3</f>
        <v>208</v>
      </c>
      <c r="H91" s="32">
        <f>$H$3</f>
        <v>210</v>
      </c>
      <c r="I91" s="32">
        <f>$I$3</f>
        <v>87</v>
      </c>
      <c r="J91" s="32">
        <f>$J$3</f>
        <v>396</v>
      </c>
      <c r="K91" s="32">
        <f>$K$3</f>
        <v>85</v>
      </c>
      <c r="L91" s="32">
        <f>$L$3</f>
        <v>63</v>
      </c>
      <c r="M91" s="32">
        <f>$M$3</f>
        <v>14</v>
      </c>
      <c r="N91" s="32">
        <f>$N$3</f>
        <v>504</v>
      </c>
      <c r="O91" s="32">
        <f>$O$3</f>
        <v>145</v>
      </c>
      <c r="P91" s="32">
        <f>$P$3</f>
        <v>388</v>
      </c>
      <c r="Q91" s="32">
        <f>$Q$3</f>
        <v>438</v>
      </c>
      <c r="R91" s="32">
        <f>$R$3</f>
        <v>178</v>
      </c>
      <c r="S91" s="32">
        <f>$S$3</f>
        <v>157</v>
      </c>
      <c r="T91" s="32">
        <f>$T$3</f>
        <v>79</v>
      </c>
      <c r="U91" s="32">
        <f>$U$3</f>
        <v>161</v>
      </c>
      <c r="V91" s="32">
        <f>$V$3</f>
        <v>223</v>
      </c>
      <c r="W91" s="32">
        <f>$W$3</f>
        <v>183</v>
      </c>
      <c r="X91" s="32">
        <f>$X$3</f>
        <v>135</v>
      </c>
      <c r="Y91" s="32">
        <f>$Y$3</f>
        <v>129</v>
      </c>
      <c r="Z91" s="32">
        <f>$Z$3</f>
        <v>101</v>
      </c>
      <c r="AA91" s="32">
        <f>$AA$3</f>
        <v>49</v>
      </c>
      <c r="AB91" s="32">
        <f>$AB$3</f>
        <v>201</v>
      </c>
      <c r="AC91" s="32">
        <f>$AC$3</f>
        <v>139</v>
      </c>
      <c r="AD91" s="32">
        <f>$AD$3</f>
        <v>83</v>
      </c>
      <c r="AE91" s="32">
        <f>$AE$3</f>
        <v>300</v>
      </c>
      <c r="AF91" s="32">
        <f>$AF$3</f>
        <v>91</v>
      </c>
      <c r="AG91" s="32">
        <f>$AG$3</f>
        <v>237</v>
      </c>
      <c r="AH91" s="32">
        <f>$AH$3</f>
        <v>58</v>
      </c>
      <c r="AI91" s="32">
        <f>$AI$3</f>
        <v>55</v>
      </c>
      <c r="AJ91" s="32">
        <f>$AJ$3</f>
        <v>67</v>
      </c>
      <c r="AK91" s="32">
        <f>$AK$3</f>
        <v>330</v>
      </c>
      <c r="AL91" s="32">
        <f>$AL$3</f>
        <v>134</v>
      </c>
      <c r="AM91" s="33"/>
      <c r="AN91" s="5">
        <f>SUM(C91:AM91)</f>
        <v>6544</v>
      </c>
    </row>
    <row r="92" spans="1:43" x14ac:dyDescent="0.2">
      <c r="A92" s="270"/>
      <c r="B92" s="35">
        <f>'問9S（表）'!B54</f>
        <v>100</v>
      </c>
      <c r="C92" s="20">
        <f t="shared" ref="C92:AL92" si="53">C91/$B$91*100</f>
        <v>31.188118811881189</v>
      </c>
      <c r="D92" s="207">
        <f t="shared" si="53"/>
        <v>9.9628712871287135</v>
      </c>
      <c r="E92" s="207">
        <f t="shared" si="53"/>
        <v>5.3217821782178216</v>
      </c>
      <c r="F92" s="207">
        <f t="shared" si="53"/>
        <v>10.21039603960396</v>
      </c>
      <c r="G92" s="207">
        <f t="shared" si="53"/>
        <v>12.871287128712872</v>
      </c>
      <c r="H92" s="207">
        <f t="shared" si="53"/>
        <v>12.995049504950495</v>
      </c>
      <c r="I92" s="207">
        <f t="shared" si="53"/>
        <v>5.3836633663366333</v>
      </c>
      <c r="J92" s="207">
        <f t="shared" si="53"/>
        <v>24.504950495049506</v>
      </c>
      <c r="K92" s="207">
        <f t="shared" si="53"/>
        <v>5.2599009900990099</v>
      </c>
      <c r="L92" s="207">
        <f t="shared" si="53"/>
        <v>3.8985148514851486</v>
      </c>
      <c r="M92" s="207">
        <f t="shared" si="53"/>
        <v>0.86633663366336644</v>
      </c>
      <c r="N92" s="207">
        <f t="shared" si="53"/>
        <v>31.188118811881189</v>
      </c>
      <c r="O92" s="207">
        <f t="shared" si="53"/>
        <v>8.9727722772277225</v>
      </c>
      <c r="P92" s="207">
        <f t="shared" si="53"/>
        <v>24.009900990099009</v>
      </c>
      <c r="Q92" s="207">
        <f t="shared" si="53"/>
        <v>27.103960396039607</v>
      </c>
      <c r="R92" s="207">
        <f t="shared" si="53"/>
        <v>11.014851485148515</v>
      </c>
      <c r="S92" s="207">
        <f t="shared" si="53"/>
        <v>9.7153465346534649</v>
      </c>
      <c r="T92" s="207">
        <f t="shared" si="53"/>
        <v>4.8886138613861387</v>
      </c>
      <c r="U92" s="207">
        <f t="shared" si="53"/>
        <v>9.9628712871287135</v>
      </c>
      <c r="V92" s="207">
        <f t="shared" si="53"/>
        <v>13.79950495049505</v>
      </c>
      <c r="W92" s="207">
        <f t="shared" si="53"/>
        <v>11.324257425742575</v>
      </c>
      <c r="X92" s="207">
        <f t="shared" si="53"/>
        <v>8.3539603960396036</v>
      </c>
      <c r="Y92" s="207">
        <f t="shared" si="53"/>
        <v>7.9826732673267324</v>
      </c>
      <c r="Z92" s="207">
        <f t="shared" si="53"/>
        <v>6.25</v>
      </c>
      <c r="AA92" s="207">
        <f t="shared" si="53"/>
        <v>3.032178217821782</v>
      </c>
      <c r="AB92" s="207">
        <f t="shared" si="53"/>
        <v>12.438118811881187</v>
      </c>
      <c r="AC92" s="207">
        <f t="shared" si="53"/>
        <v>8.6014851485148505</v>
      </c>
      <c r="AD92" s="207">
        <f t="shared" si="53"/>
        <v>5.1361386138613856</v>
      </c>
      <c r="AE92" s="207">
        <f t="shared" si="53"/>
        <v>18.564356435643564</v>
      </c>
      <c r="AF92" s="207">
        <f t="shared" si="53"/>
        <v>5.6311881188118811</v>
      </c>
      <c r="AG92" s="207">
        <f t="shared" si="53"/>
        <v>14.665841584158414</v>
      </c>
      <c r="AH92" s="207">
        <f t="shared" si="53"/>
        <v>3.5891089108910887</v>
      </c>
      <c r="AI92" s="207">
        <f t="shared" si="53"/>
        <v>3.4034653465346536</v>
      </c>
      <c r="AJ92" s="207">
        <f t="shared" si="53"/>
        <v>4.1460396039603964</v>
      </c>
      <c r="AK92" s="207">
        <f t="shared" si="53"/>
        <v>20.420792079207921</v>
      </c>
      <c r="AL92" s="207">
        <f t="shared" si="53"/>
        <v>8.2920792079207928</v>
      </c>
      <c r="AM92" s="208"/>
      <c r="AN92" s="195"/>
    </row>
    <row r="93" spans="1:43" x14ac:dyDescent="0.2">
      <c r="A93" s="269" t="str">
        <f>'問10-2M（表）'!A93</f>
        <v>岐阜圏域(n = 617 )　　</v>
      </c>
      <c r="B93" s="34">
        <f>'問9S（表）'!B55</f>
        <v>617</v>
      </c>
      <c r="C93" s="31">
        <v>186</v>
      </c>
      <c r="D93" s="32">
        <v>38</v>
      </c>
      <c r="E93" s="32">
        <v>32</v>
      </c>
      <c r="F93" s="32">
        <v>69</v>
      </c>
      <c r="G93" s="32">
        <v>67</v>
      </c>
      <c r="H93" s="32">
        <v>86</v>
      </c>
      <c r="I93" s="32">
        <v>37</v>
      </c>
      <c r="J93" s="32">
        <v>124</v>
      </c>
      <c r="K93" s="32">
        <v>31</v>
      </c>
      <c r="L93" s="32">
        <v>26</v>
      </c>
      <c r="M93" s="32">
        <v>6</v>
      </c>
      <c r="N93" s="32">
        <v>186</v>
      </c>
      <c r="O93" s="32">
        <v>61</v>
      </c>
      <c r="P93" s="32">
        <v>156</v>
      </c>
      <c r="Q93" s="32">
        <v>184</v>
      </c>
      <c r="R93" s="32">
        <v>65</v>
      </c>
      <c r="S93" s="32">
        <v>60</v>
      </c>
      <c r="T93" s="32">
        <v>26</v>
      </c>
      <c r="U93" s="32">
        <v>71</v>
      </c>
      <c r="V93" s="32">
        <v>86</v>
      </c>
      <c r="W93" s="32">
        <v>85</v>
      </c>
      <c r="X93" s="32">
        <v>48</v>
      </c>
      <c r="Y93" s="32">
        <v>57</v>
      </c>
      <c r="Z93" s="32">
        <v>34</v>
      </c>
      <c r="AA93" s="32">
        <v>9</v>
      </c>
      <c r="AB93" s="32">
        <v>75</v>
      </c>
      <c r="AC93" s="32">
        <v>51</v>
      </c>
      <c r="AD93" s="32">
        <v>26</v>
      </c>
      <c r="AE93" s="32">
        <v>113</v>
      </c>
      <c r="AF93" s="32">
        <v>31</v>
      </c>
      <c r="AG93" s="32">
        <v>94</v>
      </c>
      <c r="AH93" s="32">
        <v>28</v>
      </c>
      <c r="AI93" s="32">
        <v>23</v>
      </c>
      <c r="AJ93" s="32">
        <v>31</v>
      </c>
      <c r="AK93" s="32">
        <v>107</v>
      </c>
      <c r="AL93" s="32">
        <v>36</v>
      </c>
      <c r="AM93" s="33"/>
      <c r="AN93" s="5">
        <f>SUM(C93:AM93)</f>
        <v>2445</v>
      </c>
      <c r="AO93" t="str">
        <f>" 岐阜圏域（ n = "&amp;B93&amp;"）"</f>
        <v xml:space="preserve"> 岐阜圏域（ n = 617）</v>
      </c>
      <c r="AQ93">
        <v>1</v>
      </c>
    </row>
    <row r="94" spans="1:43" x14ac:dyDescent="0.2">
      <c r="A94" s="270"/>
      <c r="B94" s="35">
        <f>'問9S（表）'!B56</f>
        <v>38.180693069306933</v>
      </c>
      <c r="C94" s="20">
        <f t="shared" ref="C94:AL94" si="54">C93/$B$93*100</f>
        <v>30.14586709886548</v>
      </c>
      <c r="D94" s="207">
        <f t="shared" si="54"/>
        <v>6.1588330632090758</v>
      </c>
      <c r="E94" s="207">
        <f t="shared" si="54"/>
        <v>5.1863857374392222</v>
      </c>
      <c r="F94" s="207">
        <f t="shared" si="54"/>
        <v>11.183144246353322</v>
      </c>
      <c r="G94" s="207">
        <f t="shared" si="54"/>
        <v>10.858995137763371</v>
      </c>
      <c r="H94" s="207">
        <f t="shared" si="54"/>
        <v>13.938411669367909</v>
      </c>
      <c r="I94" s="207">
        <f t="shared" si="54"/>
        <v>5.9967585089141</v>
      </c>
      <c r="J94" s="207">
        <f t="shared" si="54"/>
        <v>20.097244732576986</v>
      </c>
      <c r="K94" s="207">
        <f t="shared" si="54"/>
        <v>5.0243111831442464</v>
      </c>
      <c r="L94" s="207">
        <f t="shared" si="54"/>
        <v>4.2139384116693677</v>
      </c>
      <c r="M94" s="207">
        <f t="shared" si="54"/>
        <v>0.97244732576985426</v>
      </c>
      <c r="N94" s="207">
        <f t="shared" si="54"/>
        <v>30.14586709886548</v>
      </c>
      <c r="O94" s="207">
        <f t="shared" si="54"/>
        <v>9.8865478119935162</v>
      </c>
      <c r="P94" s="207">
        <f t="shared" si="54"/>
        <v>25.283630470016206</v>
      </c>
      <c r="Q94" s="207">
        <f t="shared" si="54"/>
        <v>29.821717990275527</v>
      </c>
      <c r="R94" s="207">
        <f t="shared" si="54"/>
        <v>10.534846029173419</v>
      </c>
      <c r="S94" s="207">
        <f t="shared" si="54"/>
        <v>9.7244732576985413</v>
      </c>
      <c r="T94" s="207">
        <f t="shared" si="54"/>
        <v>4.2139384116693677</v>
      </c>
      <c r="U94" s="207">
        <f t="shared" si="54"/>
        <v>11.507293354943274</v>
      </c>
      <c r="V94" s="207">
        <f t="shared" si="54"/>
        <v>13.938411669367909</v>
      </c>
      <c r="W94" s="207">
        <f t="shared" si="54"/>
        <v>13.776337115072934</v>
      </c>
      <c r="X94" s="207">
        <f t="shared" si="54"/>
        <v>7.7795786061588341</v>
      </c>
      <c r="Y94" s="207">
        <f t="shared" si="54"/>
        <v>9.238249594813615</v>
      </c>
      <c r="Z94" s="207">
        <f t="shared" si="54"/>
        <v>5.5105348460291737</v>
      </c>
      <c r="AA94" s="207">
        <f t="shared" si="54"/>
        <v>1.4586709886547813</v>
      </c>
      <c r="AB94" s="207">
        <f t="shared" si="54"/>
        <v>12.155591572123177</v>
      </c>
      <c r="AC94" s="207">
        <f t="shared" si="54"/>
        <v>8.2658022690437605</v>
      </c>
      <c r="AD94" s="207">
        <f t="shared" si="54"/>
        <v>4.2139384116693677</v>
      </c>
      <c r="AE94" s="207">
        <f t="shared" si="54"/>
        <v>18.314424635332252</v>
      </c>
      <c r="AF94" s="207">
        <f t="shared" si="54"/>
        <v>5.0243111831442464</v>
      </c>
      <c r="AG94" s="207">
        <f t="shared" si="54"/>
        <v>15.235008103727715</v>
      </c>
      <c r="AH94" s="207">
        <f t="shared" si="54"/>
        <v>4.5380875202593192</v>
      </c>
      <c r="AI94" s="207">
        <f t="shared" si="54"/>
        <v>3.7277147487844409</v>
      </c>
      <c r="AJ94" s="207">
        <f t="shared" si="54"/>
        <v>5.0243111831442464</v>
      </c>
      <c r="AK94" s="207">
        <f t="shared" si="54"/>
        <v>17.341977309562399</v>
      </c>
      <c r="AL94" s="207">
        <f t="shared" si="54"/>
        <v>5.8346839546191251</v>
      </c>
      <c r="AM94" s="208"/>
      <c r="AN94" s="195"/>
    </row>
    <row r="95" spans="1:43" x14ac:dyDescent="0.2">
      <c r="A95" s="269" t="str">
        <f>'問10-2M（表）'!A95</f>
        <v>西濃圏域(n = 290 )　　</v>
      </c>
      <c r="B95" s="34">
        <f>'問9S（表）'!B57</f>
        <v>290</v>
      </c>
      <c r="C95" s="31">
        <v>101</v>
      </c>
      <c r="D95" s="32">
        <v>27</v>
      </c>
      <c r="E95" s="32">
        <v>17</v>
      </c>
      <c r="F95" s="32">
        <v>35</v>
      </c>
      <c r="G95" s="32">
        <v>42</v>
      </c>
      <c r="H95" s="32">
        <v>48</v>
      </c>
      <c r="I95" s="32">
        <v>22</v>
      </c>
      <c r="J95" s="32">
        <v>72</v>
      </c>
      <c r="K95" s="32">
        <v>12</v>
      </c>
      <c r="L95" s="32">
        <v>11</v>
      </c>
      <c r="M95" s="32">
        <v>4</v>
      </c>
      <c r="N95" s="32">
        <v>94</v>
      </c>
      <c r="O95" s="32">
        <v>21</v>
      </c>
      <c r="P95" s="32">
        <v>73</v>
      </c>
      <c r="Q95" s="32">
        <v>83</v>
      </c>
      <c r="R95" s="32">
        <v>36</v>
      </c>
      <c r="S95" s="32">
        <v>27</v>
      </c>
      <c r="T95" s="32">
        <v>15</v>
      </c>
      <c r="U95" s="32">
        <v>30</v>
      </c>
      <c r="V95" s="32">
        <v>38</v>
      </c>
      <c r="W95" s="32">
        <v>30</v>
      </c>
      <c r="X95" s="32">
        <v>25</v>
      </c>
      <c r="Y95" s="32">
        <v>20</v>
      </c>
      <c r="Z95" s="32">
        <v>18</v>
      </c>
      <c r="AA95" s="32">
        <v>8</v>
      </c>
      <c r="AB95" s="32">
        <v>33</v>
      </c>
      <c r="AC95" s="32">
        <v>34</v>
      </c>
      <c r="AD95" s="32">
        <v>8</v>
      </c>
      <c r="AE95" s="32">
        <v>59</v>
      </c>
      <c r="AF95" s="32">
        <v>17</v>
      </c>
      <c r="AG95" s="32">
        <v>37</v>
      </c>
      <c r="AH95" s="32">
        <v>13</v>
      </c>
      <c r="AI95" s="32">
        <v>10</v>
      </c>
      <c r="AJ95" s="32">
        <v>8</v>
      </c>
      <c r="AK95" s="32">
        <v>58</v>
      </c>
      <c r="AL95" s="32">
        <v>29</v>
      </c>
      <c r="AM95" s="33"/>
      <c r="AN95" s="5">
        <f>SUM(C95:AM95)</f>
        <v>1215</v>
      </c>
      <c r="AO95" t="str">
        <f>" 西濃圏域（ n = "&amp;B95&amp;"）"</f>
        <v xml:space="preserve"> 西濃圏域（ n = 290）</v>
      </c>
      <c r="AQ95">
        <v>2</v>
      </c>
    </row>
    <row r="96" spans="1:43" x14ac:dyDescent="0.2">
      <c r="A96" s="270"/>
      <c r="B96" s="35">
        <f>'問9S（表）'!B58</f>
        <v>17.945544554455445</v>
      </c>
      <c r="C96" s="20">
        <f t="shared" ref="C96:AL96" si="55">C95/$B$95*100</f>
        <v>34.827586206896548</v>
      </c>
      <c r="D96" s="207">
        <f t="shared" si="55"/>
        <v>9.3103448275862082</v>
      </c>
      <c r="E96" s="207">
        <f t="shared" si="55"/>
        <v>5.8620689655172411</v>
      </c>
      <c r="F96" s="207">
        <f t="shared" si="55"/>
        <v>12.068965517241379</v>
      </c>
      <c r="G96" s="207">
        <f t="shared" si="55"/>
        <v>14.482758620689657</v>
      </c>
      <c r="H96" s="207">
        <f t="shared" si="55"/>
        <v>16.551724137931036</v>
      </c>
      <c r="I96" s="207">
        <f t="shared" si="55"/>
        <v>7.5862068965517242</v>
      </c>
      <c r="J96" s="207">
        <f t="shared" si="55"/>
        <v>24.827586206896552</v>
      </c>
      <c r="K96" s="207">
        <f t="shared" si="55"/>
        <v>4.1379310344827589</v>
      </c>
      <c r="L96" s="207">
        <f t="shared" si="55"/>
        <v>3.7931034482758621</v>
      </c>
      <c r="M96" s="207">
        <f t="shared" si="55"/>
        <v>1.3793103448275863</v>
      </c>
      <c r="N96" s="207">
        <f t="shared" si="55"/>
        <v>32.41379310344827</v>
      </c>
      <c r="O96" s="207">
        <f t="shared" si="55"/>
        <v>7.2413793103448283</v>
      </c>
      <c r="P96" s="207">
        <f t="shared" si="55"/>
        <v>25.172413793103448</v>
      </c>
      <c r="Q96" s="207">
        <f t="shared" si="55"/>
        <v>28.620689655172416</v>
      </c>
      <c r="R96" s="207">
        <f t="shared" si="55"/>
        <v>12.413793103448276</v>
      </c>
      <c r="S96" s="207">
        <f t="shared" si="55"/>
        <v>9.3103448275862082</v>
      </c>
      <c r="T96" s="207">
        <f t="shared" si="55"/>
        <v>5.1724137931034484</v>
      </c>
      <c r="U96" s="207">
        <f t="shared" si="55"/>
        <v>10.344827586206897</v>
      </c>
      <c r="V96" s="207">
        <f t="shared" si="55"/>
        <v>13.103448275862069</v>
      </c>
      <c r="W96" s="207">
        <f t="shared" si="55"/>
        <v>10.344827586206897</v>
      </c>
      <c r="X96" s="207">
        <f t="shared" si="55"/>
        <v>8.6206896551724146</v>
      </c>
      <c r="Y96" s="207">
        <f t="shared" si="55"/>
        <v>6.8965517241379306</v>
      </c>
      <c r="Z96" s="207">
        <f t="shared" si="55"/>
        <v>6.2068965517241379</v>
      </c>
      <c r="AA96" s="207">
        <f t="shared" si="55"/>
        <v>2.7586206896551726</v>
      </c>
      <c r="AB96" s="207">
        <f t="shared" si="55"/>
        <v>11.379310344827587</v>
      </c>
      <c r="AC96" s="207">
        <f t="shared" si="55"/>
        <v>11.724137931034482</v>
      </c>
      <c r="AD96" s="207">
        <f t="shared" si="55"/>
        <v>2.7586206896551726</v>
      </c>
      <c r="AE96" s="207">
        <f t="shared" si="55"/>
        <v>20.344827586206897</v>
      </c>
      <c r="AF96" s="207">
        <f t="shared" si="55"/>
        <v>5.8620689655172411</v>
      </c>
      <c r="AG96" s="207">
        <f t="shared" si="55"/>
        <v>12.758620689655173</v>
      </c>
      <c r="AH96" s="207">
        <f t="shared" si="55"/>
        <v>4.4827586206896548</v>
      </c>
      <c r="AI96" s="207">
        <f t="shared" si="55"/>
        <v>3.4482758620689653</v>
      </c>
      <c r="AJ96" s="207">
        <f t="shared" si="55"/>
        <v>2.7586206896551726</v>
      </c>
      <c r="AK96" s="207">
        <f t="shared" si="55"/>
        <v>20</v>
      </c>
      <c r="AL96" s="207">
        <f t="shared" si="55"/>
        <v>10</v>
      </c>
      <c r="AM96" s="208"/>
      <c r="AN96" s="195"/>
    </row>
    <row r="97" spans="1:43" x14ac:dyDescent="0.2">
      <c r="A97" s="269" t="str">
        <f>'問10-2M（表）'!A97</f>
        <v>中濃圏域(n = 300 )　　</v>
      </c>
      <c r="B97" s="34">
        <f>'問9S（表）'!B59</f>
        <v>300</v>
      </c>
      <c r="C97" s="31">
        <v>89</v>
      </c>
      <c r="D97" s="32">
        <v>40</v>
      </c>
      <c r="E97" s="32">
        <v>17</v>
      </c>
      <c r="F97" s="32">
        <v>22</v>
      </c>
      <c r="G97" s="32">
        <v>49</v>
      </c>
      <c r="H97" s="32">
        <v>38</v>
      </c>
      <c r="I97" s="32">
        <v>12</v>
      </c>
      <c r="J97" s="32">
        <v>73</v>
      </c>
      <c r="K97" s="32">
        <v>22</v>
      </c>
      <c r="L97" s="32">
        <v>11</v>
      </c>
      <c r="M97" s="32">
        <v>2</v>
      </c>
      <c r="N97" s="32">
        <v>96</v>
      </c>
      <c r="O97" s="32">
        <v>37</v>
      </c>
      <c r="P97" s="32">
        <v>68</v>
      </c>
      <c r="Q97" s="32">
        <v>76</v>
      </c>
      <c r="R97" s="32">
        <v>28</v>
      </c>
      <c r="S97" s="32">
        <v>20</v>
      </c>
      <c r="T97" s="32">
        <v>10</v>
      </c>
      <c r="U97" s="32">
        <v>26</v>
      </c>
      <c r="V97" s="32">
        <v>50</v>
      </c>
      <c r="W97" s="32">
        <v>27</v>
      </c>
      <c r="X97" s="32">
        <v>26</v>
      </c>
      <c r="Y97" s="32">
        <v>26</v>
      </c>
      <c r="Z97" s="32">
        <v>19</v>
      </c>
      <c r="AA97" s="32">
        <v>14</v>
      </c>
      <c r="AB97" s="32">
        <v>43</v>
      </c>
      <c r="AC97" s="32">
        <v>26</v>
      </c>
      <c r="AD97" s="32">
        <v>22</v>
      </c>
      <c r="AE97" s="32">
        <v>55</v>
      </c>
      <c r="AF97" s="32">
        <v>22</v>
      </c>
      <c r="AG97" s="32">
        <v>50</v>
      </c>
      <c r="AH97" s="32">
        <v>8</v>
      </c>
      <c r="AI97" s="32">
        <v>5</v>
      </c>
      <c r="AJ97" s="32">
        <v>15</v>
      </c>
      <c r="AK97" s="32">
        <v>70</v>
      </c>
      <c r="AL97" s="32">
        <v>27</v>
      </c>
      <c r="AM97" s="33"/>
      <c r="AN97" s="5">
        <f>SUM(C97:AM97)</f>
        <v>1241</v>
      </c>
      <c r="AO97" t="str">
        <f>" 中濃圏域（ n = "&amp;B97&amp;"）"</f>
        <v xml:space="preserve"> 中濃圏域（ n = 300）</v>
      </c>
      <c r="AQ97">
        <v>3</v>
      </c>
    </row>
    <row r="98" spans="1:43" x14ac:dyDescent="0.2">
      <c r="A98" s="270"/>
      <c r="B98" s="35">
        <f>'問9S（表）'!B60</f>
        <v>18.564356435643564</v>
      </c>
      <c r="C98" s="20">
        <f t="shared" ref="C98:AL98" si="56">C97/$B$97*100</f>
        <v>29.666666666666668</v>
      </c>
      <c r="D98" s="207">
        <f t="shared" si="56"/>
        <v>13.333333333333334</v>
      </c>
      <c r="E98" s="207">
        <f t="shared" si="56"/>
        <v>5.6666666666666661</v>
      </c>
      <c r="F98" s="207">
        <f t="shared" si="56"/>
        <v>7.333333333333333</v>
      </c>
      <c r="G98" s="207">
        <f t="shared" si="56"/>
        <v>16.333333333333332</v>
      </c>
      <c r="H98" s="207">
        <f t="shared" si="56"/>
        <v>12.666666666666668</v>
      </c>
      <c r="I98" s="207">
        <f t="shared" si="56"/>
        <v>4</v>
      </c>
      <c r="J98" s="207">
        <f t="shared" si="56"/>
        <v>24.333333333333336</v>
      </c>
      <c r="K98" s="207">
        <f t="shared" si="56"/>
        <v>7.333333333333333</v>
      </c>
      <c r="L98" s="207">
        <f t="shared" si="56"/>
        <v>3.6666666666666665</v>
      </c>
      <c r="M98" s="207">
        <f t="shared" si="56"/>
        <v>0.66666666666666674</v>
      </c>
      <c r="N98" s="207">
        <f t="shared" si="56"/>
        <v>32</v>
      </c>
      <c r="O98" s="207">
        <f t="shared" si="56"/>
        <v>12.333333333333334</v>
      </c>
      <c r="P98" s="207">
        <f t="shared" si="56"/>
        <v>22.666666666666664</v>
      </c>
      <c r="Q98" s="207">
        <f t="shared" si="56"/>
        <v>25.333333333333336</v>
      </c>
      <c r="R98" s="207">
        <f t="shared" si="56"/>
        <v>9.3333333333333339</v>
      </c>
      <c r="S98" s="207">
        <f t="shared" si="56"/>
        <v>6.666666666666667</v>
      </c>
      <c r="T98" s="207">
        <f t="shared" si="56"/>
        <v>3.3333333333333335</v>
      </c>
      <c r="U98" s="207">
        <f t="shared" si="56"/>
        <v>8.6666666666666679</v>
      </c>
      <c r="V98" s="207">
        <f t="shared" si="56"/>
        <v>16.666666666666664</v>
      </c>
      <c r="W98" s="207">
        <f t="shared" si="56"/>
        <v>9</v>
      </c>
      <c r="X98" s="207">
        <f t="shared" si="56"/>
        <v>8.6666666666666679</v>
      </c>
      <c r="Y98" s="207">
        <f t="shared" si="56"/>
        <v>8.6666666666666679</v>
      </c>
      <c r="Z98" s="207">
        <f t="shared" si="56"/>
        <v>6.3333333333333339</v>
      </c>
      <c r="AA98" s="207">
        <f t="shared" si="56"/>
        <v>4.666666666666667</v>
      </c>
      <c r="AB98" s="207">
        <f t="shared" si="56"/>
        <v>14.333333333333334</v>
      </c>
      <c r="AC98" s="207">
        <f t="shared" si="56"/>
        <v>8.6666666666666679</v>
      </c>
      <c r="AD98" s="207">
        <f t="shared" si="56"/>
        <v>7.333333333333333</v>
      </c>
      <c r="AE98" s="207">
        <f t="shared" si="56"/>
        <v>18.333333333333332</v>
      </c>
      <c r="AF98" s="207">
        <f t="shared" si="56"/>
        <v>7.333333333333333</v>
      </c>
      <c r="AG98" s="207">
        <f t="shared" si="56"/>
        <v>16.666666666666664</v>
      </c>
      <c r="AH98" s="207">
        <f t="shared" si="56"/>
        <v>2.666666666666667</v>
      </c>
      <c r="AI98" s="207">
        <f t="shared" si="56"/>
        <v>1.6666666666666667</v>
      </c>
      <c r="AJ98" s="207">
        <f t="shared" si="56"/>
        <v>5</v>
      </c>
      <c r="AK98" s="207">
        <f t="shared" si="56"/>
        <v>23.333333333333332</v>
      </c>
      <c r="AL98" s="207">
        <f t="shared" si="56"/>
        <v>9</v>
      </c>
      <c r="AM98" s="208"/>
      <c r="AN98" s="195"/>
    </row>
    <row r="99" spans="1:43" x14ac:dyDescent="0.2">
      <c r="A99" s="269" t="str">
        <f>'問10-2M（表）'!A99</f>
        <v>東濃圏域(n = 271 )　　</v>
      </c>
      <c r="B99" s="34">
        <f>'問9S（表）'!B61</f>
        <v>271</v>
      </c>
      <c r="C99" s="31">
        <v>81</v>
      </c>
      <c r="D99" s="32">
        <v>41</v>
      </c>
      <c r="E99" s="32">
        <v>15</v>
      </c>
      <c r="F99" s="32">
        <v>22</v>
      </c>
      <c r="G99" s="32">
        <v>35</v>
      </c>
      <c r="H99" s="32">
        <v>22</v>
      </c>
      <c r="I99" s="32">
        <v>12</v>
      </c>
      <c r="J99" s="32">
        <v>80</v>
      </c>
      <c r="K99" s="32">
        <v>10</v>
      </c>
      <c r="L99" s="32">
        <v>9</v>
      </c>
      <c r="M99" s="32">
        <v>2</v>
      </c>
      <c r="N99" s="32">
        <v>87</v>
      </c>
      <c r="O99" s="32">
        <v>12</v>
      </c>
      <c r="P99" s="32">
        <v>56</v>
      </c>
      <c r="Q99" s="32">
        <v>62</v>
      </c>
      <c r="R99" s="32">
        <v>35</v>
      </c>
      <c r="S99" s="32">
        <v>28</v>
      </c>
      <c r="T99" s="32">
        <v>20</v>
      </c>
      <c r="U99" s="32">
        <v>24</v>
      </c>
      <c r="V99" s="32">
        <v>30</v>
      </c>
      <c r="W99" s="32">
        <v>26</v>
      </c>
      <c r="X99" s="32">
        <v>24</v>
      </c>
      <c r="Y99" s="32">
        <v>15</v>
      </c>
      <c r="Z99" s="32">
        <v>16</v>
      </c>
      <c r="AA99" s="32">
        <v>9</v>
      </c>
      <c r="AB99" s="32">
        <v>33</v>
      </c>
      <c r="AC99" s="32">
        <v>15</v>
      </c>
      <c r="AD99" s="32">
        <v>16</v>
      </c>
      <c r="AE99" s="32">
        <v>55</v>
      </c>
      <c r="AF99" s="32">
        <v>10</v>
      </c>
      <c r="AG99" s="32">
        <v>42</v>
      </c>
      <c r="AH99" s="32">
        <v>5</v>
      </c>
      <c r="AI99" s="32">
        <v>11</v>
      </c>
      <c r="AJ99" s="32">
        <v>8</v>
      </c>
      <c r="AK99" s="32">
        <v>58</v>
      </c>
      <c r="AL99" s="32">
        <v>30</v>
      </c>
      <c r="AM99" s="33"/>
      <c r="AN99" s="5">
        <f>SUM(C99:AM99)</f>
        <v>1056</v>
      </c>
      <c r="AO99" t="str">
        <f>" 東濃圏域（ n = "&amp;B99&amp;"）"</f>
        <v xml:space="preserve"> 東濃圏域（ n = 271）</v>
      </c>
      <c r="AQ99">
        <v>4</v>
      </c>
    </row>
    <row r="100" spans="1:43" x14ac:dyDescent="0.2">
      <c r="A100" s="270"/>
      <c r="B100" s="35">
        <f>'問9S（表）'!B62</f>
        <v>16.769801980198022</v>
      </c>
      <c r="C100" s="20">
        <f t="shared" ref="C100:AL100" si="57">C99/$B$99*100</f>
        <v>29.889298892988929</v>
      </c>
      <c r="D100" s="207">
        <f t="shared" si="57"/>
        <v>15.129151291512915</v>
      </c>
      <c r="E100" s="207">
        <f t="shared" si="57"/>
        <v>5.5350553505535052</v>
      </c>
      <c r="F100" s="207">
        <f t="shared" si="57"/>
        <v>8.1180811808118083</v>
      </c>
      <c r="G100" s="207">
        <f t="shared" si="57"/>
        <v>12.915129151291513</v>
      </c>
      <c r="H100" s="207">
        <f t="shared" si="57"/>
        <v>8.1180811808118083</v>
      </c>
      <c r="I100" s="207">
        <f t="shared" si="57"/>
        <v>4.428044280442804</v>
      </c>
      <c r="J100" s="207">
        <f t="shared" si="57"/>
        <v>29.520295202952028</v>
      </c>
      <c r="K100" s="207">
        <f t="shared" si="57"/>
        <v>3.6900369003690034</v>
      </c>
      <c r="L100" s="207">
        <f t="shared" si="57"/>
        <v>3.3210332103321036</v>
      </c>
      <c r="M100" s="207">
        <f t="shared" si="57"/>
        <v>0.73800738007380073</v>
      </c>
      <c r="N100" s="207">
        <f t="shared" si="57"/>
        <v>32.103321033210328</v>
      </c>
      <c r="O100" s="207">
        <f t="shared" si="57"/>
        <v>4.428044280442804</v>
      </c>
      <c r="P100" s="207">
        <f t="shared" si="57"/>
        <v>20.664206642066421</v>
      </c>
      <c r="Q100" s="207">
        <f t="shared" si="57"/>
        <v>22.878228782287824</v>
      </c>
      <c r="R100" s="207">
        <f t="shared" si="57"/>
        <v>12.915129151291513</v>
      </c>
      <c r="S100" s="207">
        <f t="shared" si="57"/>
        <v>10.332103321033211</v>
      </c>
      <c r="T100" s="207">
        <f t="shared" si="57"/>
        <v>7.3800738007380069</v>
      </c>
      <c r="U100" s="207">
        <f t="shared" si="57"/>
        <v>8.8560885608856079</v>
      </c>
      <c r="V100" s="207">
        <f t="shared" si="57"/>
        <v>11.07011070110701</v>
      </c>
      <c r="W100" s="207">
        <f t="shared" si="57"/>
        <v>9.5940959409594093</v>
      </c>
      <c r="X100" s="207">
        <f t="shared" si="57"/>
        <v>8.8560885608856079</v>
      </c>
      <c r="Y100" s="207">
        <f t="shared" si="57"/>
        <v>5.5350553505535052</v>
      </c>
      <c r="Z100" s="207">
        <f t="shared" si="57"/>
        <v>5.9040590405904059</v>
      </c>
      <c r="AA100" s="207">
        <f t="shared" si="57"/>
        <v>3.3210332103321036</v>
      </c>
      <c r="AB100" s="207">
        <f t="shared" si="57"/>
        <v>12.177121771217712</v>
      </c>
      <c r="AC100" s="207">
        <f t="shared" si="57"/>
        <v>5.5350553505535052</v>
      </c>
      <c r="AD100" s="207">
        <f t="shared" si="57"/>
        <v>5.9040590405904059</v>
      </c>
      <c r="AE100" s="207">
        <f t="shared" si="57"/>
        <v>20.29520295202952</v>
      </c>
      <c r="AF100" s="207">
        <f t="shared" si="57"/>
        <v>3.6900369003690034</v>
      </c>
      <c r="AG100" s="207">
        <f t="shared" si="57"/>
        <v>15.498154981549817</v>
      </c>
      <c r="AH100" s="207">
        <f t="shared" si="57"/>
        <v>1.8450184501845017</v>
      </c>
      <c r="AI100" s="207">
        <f t="shared" si="57"/>
        <v>4.0590405904059041</v>
      </c>
      <c r="AJ100" s="207">
        <f t="shared" si="57"/>
        <v>2.9520295202952029</v>
      </c>
      <c r="AK100" s="207">
        <f t="shared" si="57"/>
        <v>21.402214022140221</v>
      </c>
      <c r="AL100" s="207">
        <f t="shared" si="57"/>
        <v>11.07011070110701</v>
      </c>
      <c r="AM100" s="208"/>
      <c r="AN100" s="195"/>
    </row>
    <row r="101" spans="1:43" x14ac:dyDescent="0.2">
      <c r="A101" s="269" t="str">
        <f>'問10-2M（表）'!A101</f>
        <v>飛騨圏域(n = 106 )　　</v>
      </c>
      <c r="B101" s="34">
        <f>'問9S（表）'!B63</f>
        <v>106</v>
      </c>
      <c r="C101" s="31">
        <v>36</v>
      </c>
      <c r="D101" s="32">
        <v>13</v>
      </c>
      <c r="E101" s="32">
        <v>2</v>
      </c>
      <c r="F101" s="32">
        <v>13</v>
      </c>
      <c r="G101" s="32">
        <v>9</v>
      </c>
      <c r="H101" s="32">
        <v>11</v>
      </c>
      <c r="I101" s="32">
        <v>3</v>
      </c>
      <c r="J101" s="32">
        <v>42</v>
      </c>
      <c r="K101" s="32">
        <v>8</v>
      </c>
      <c r="L101" s="32">
        <v>2</v>
      </c>
      <c r="M101" s="32">
        <v>0</v>
      </c>
      <c r="N101" s="32">
        <v>32</v>
      </c>
      <c r="O101" s="32">
        <v>9</v>
      </c>
      <c r="P101" s="32">
        <v>28</v>
      </c>
      <c r="Q101" s="32">
        <v>22</v>
      </c>
      <c r="R101" s="32">
        <v>13</v>
      </c>
      <c r="S101" s="32">
        <v>21</v>
      </c>
      <c r="T101" s="32">
        <v>7</v>
      </c>
      <c r="U101" s="32">
        <v>8</v>
      </c>
      <c r="V101" s="32">
        <v>11</v>
      </c>
      <c r="W101" s="32">
        <v>13</v>
      </c>
      <c r="X101" s="32">
        <v>9</v>
      </c>
      <c r="Y101" s="32">
        <v>9</v>
      </c>
      <c r="Z101" s="32">
        <v>10</v>
      </c>
      <c r="AA101" s="32">
        <v>8</v>
      </c>
      <c r="AB101" s="32">
        <v>16</v>
      </c>
      <c r="AC101" s="32">
        <v>12</v>
      </c>
      <c r="AD101" s="32">
        <v>11</v>
      </c>
      <c r="AE101" s="32">
        <v>12</v>
      </c>
      <c r="AF101" s="32">
        <v>10</v>
      </c>
      <c r="AG101" s="32">
        <v>12</v>
      </c>
      <c r="AH101" s="32">
        <v>3</v>
      </c>
      <c r="AI101" s="32">
        <v>4</v>
      </c>
      <c r="AJ101" s="32">
        <v>5</v>
      </c>
      <c r="AK101" s="32">
        <v>32</v>
      </c>
      <c r="AL101" s="32">
        <v>11</v>
      </c>
      <c r="AM101" s="33"/>
      <c r="AN101" s="5">
        <f>SUM(C101:AM101)</f>
        <v>467</v>
      </c>
      <c r="AO101" t="str">
        <f>" 飛騨圏域（ n = "&amp;B101&amp;"）"</f>
        <v xml:space="preserve"> 飛騨圏域（ n = 106）</v>
      </c>
      <c r="AQ101">
        <v>5</v>
      </c>
    </row>
    <row r="102" spans="1:43" x14ac:dyDescent="0.2">
      <c r="A102" s="270"/>
      <c r="B102" s="35">
        <f>'問9S（表）'!B64</f>
        <v>6.5594059405940595</v>
      </c>
      <c r="C102" s="20">
        <f t="shared" ref="C102:AL102" si="58">C101/$B$101*100</f>
        <v>33.962264150943398</v>
      </c>
      <c r="D102" s="207">
        <f t="shared" si="58"/>
        <v>12.264150943396226</v>
      </c>
      <c r="E102" s="207">
        <f t="shared" si="58"/>
        <v>1.8867924528301887</v>
      </c>
      <c r="F102" s="207">
        <f t="shared" si="58"/>
        <v>12.264150943396226</v>
      </c>
      <c r="G102" s="207">
        <f t="shared" si="58"/>
        <v>8.4905660377358494</v>
      </c>
      <c r="H102" s="207">
        <f t="shared" si="58"/>
        <v>10.377358490566039</v>
      </c>
      <c r="I102" s="207">
        <f t="shared" si="58"/>
        <v>2.8301886792452833</v>
      </c>
      <c r="J102" s="207">
        <f t="shared" si="58"/>
        <v>39.622641509433961</v>
      </c>
      <c r="K102" s="207">
        <f t="shared" si="58"/>
        <v>7.5471698113207548</v>
      </c>
      <c r="L102" s="207">
        <f t="shared" si="58"/>
        <v>1.8867924528301887</v>
      </c>
      <c r="M102" s="207">
        <f t="shared" si="58"/>
        <v>0</v>
      </c>
      <c r="N102" s="207">
        <f t="shared" si="58"/>
        <v>30.188679245283019</v>
      </c>
      <c r="O102" s="207">
        <f t="shared" si="58"/>
        <v>8.4905660377358494</v>
      </c>
      <c r="P102" s="207">
        <f t="shared" si="58"/>
        <v>26.415094339622641</v>
      </c>
      <c r="Q102" s="207">
        <f t="shared" si="58"/>
        <v>20.754716981132077</v>
      </c>
      <c r="R102" s="207">
        <f t="shared" si="58"/>
        <v>12.264150943396226</v>
      </c>
      <c r="S102" s="207">
        <f t="shared" si="58"/>
        <v>19.811320754716981</v>
      </c>
      <c r="T102" s="207">
        <f t="shared" si="58"/>
        <v>6.6037735849056602</v>
      </c>
      <c r="U102" s="207">
        <f t="shared" si="58"/>
        <v>7.5471698113207548</v>
      </c>
      <c r="V102" s="207">
        <f t="shared" si="58"/>
        <v>10.377358490566039</v>
      </c>
      <c r="W102" s="207">
        <f t="shared" si="58"/>
        <v>12.264150943396226</v>
      </c>
      <c r="X102" s="207">
        <f t="shared" si="58"/>
        <v>8.4905660377358494</v>
      </c>
      <c r="Y102" s="207">
        <f t="shared" si="58"/>
        <v>8.4905660377358494</v>
      </c>
      <c r="Z102" s="207">
        <f t="shared" si="58"/>
        <v>9.433962264150944</v>
      </c>
      <c r="AA102" s="207">
        <f t="shared" si="58"/>
        <v>7.5471698113207548</v>
      </c>
      <c r="AB102" s="207">
        <f t="shared" si="58"/>
        <v>15.09433962264151</v>
      </c>
      <c r="AC102" s="207">
        <f t="shared" si="58"/>
        <v>11.320754716981133</v>
      </c>
      <c r="AD102" s="207">
        <f t="shared" si="58"/>
        <v>10.377358490566039</v>
      </c>
      <c r="AE102" s="207">
        <f t="shared" si="58"/>
        <v>11.320754716981133</v>
      </c>
      <c r="AF102" s="207">
        <f t="shared" si="58"/>
        <v>9.433962264150944</v>
      </c>
      <c r="AG102" s="207">
        <f t="shared" si="58"/>
        <v>11.320754716981133</v>
      </c>
      <c r="AH102" s="207">
        <f t="shared" si="58"/>
        <v>2.8301886792452833</v>
      </c>
      <c r="AI102" s="207">
        <f t="shared" si="58"/>
        <v>3.7735849056603774</v>
      </c>
      <c r="AJ102" s="207">
        <f t="shared" si="58"/>
        <v>4.716981132075472</v>
      </c>
      <c r="AK102" s="207">
        <f t="shared" si="58"/>
        <v>30.188679245283019</v>
      </c>
      <c r="AL102" s="207">
        <f t="shared" si="58"/>
        <v>10.377358490566039</v>
      </c>
      <c r="AM102" s="208"/>
      <c r="AN102" s="237"/>
    </row>
    <row r="103" spans="1:43" s="253" customFormat="1" x14ac:dyDescent="0.2">
      <c r="A103" s="254"/>
      <c r="B103" s="182"/>
      <c r="C103" s="182">
        <f t="shared" ref="C103:AL103" si="59">_xlfn.RANK.EQ(C92,$C$92:$AL$92,0)</f>
        <v>1</v>
      </c>
      <c r="D103" s="182">
        <f t="shared" si="59"/>
        <v>16</v>
      </c>
      <c r="E103" s="182">
        <f t="shared" si="59"/>
        <v>27</v>
      </c>
      <c r="F103" s="182">
        <f t="shared" si="59"/>
        <v>15</v>
      </c>
      <c r="G103" s="182">
        <f t="shared" si="59"/>
        <v>11</v>
      </c>
      <c r="H103" s="182">
        <f t="shared" si="59"/>
        <v>10</v>
      </c>
      <c r="I103" s="182">
        <f t="shared" si="59"/>
        <v>26</v>
      </c>
      <c r="J103" s="182">
        <f t="shared" si="59"/>
        <v>4</v>
      </c>
      <c r="K103" s="182">
        <f t="shared" si="59"/>
        <v>28</v>
      </c>
      <c r="L103" s="182">
        <f t="shared" si="59"/>
        <v>32</v>
      </c>
      <c r="M103" s="182">
        <f t="shared" si="59"/>
        <v>36</v>
      </c>
      <c r="N103" s="182">
        <f t="shared" si="59"/>
        <v>1</v>
      </c>
      <c r="O103" s="182">
        <f t="shared" si="59"/>
        <v>19</v>
      </c>
      <c r="P103" s="182">
        <f t="shared" si="59"/>
        <v>5</v>
      </c>
      <c r="Q103" s="182">
        <f t="shared" si="59"/>
        <v>3</v>
      </c>
      <c r="R103" s="182">
        <f t="shared" si="59"/>
        <v>14</v>
      </c>
      <c r="S103" s="182">
        <f t="shared" si="59"/>
        <v>18</v>
      </c>
      <c r="T103" s="182">
        <f t="shared" si="59"/>
        <v>30</v>
      </c>
      <c r="U103" s="182">
        <f t="shared" si="59"/>
        <v>16</v>
      </c>
      <c r="V103" s="182">
        <f t="shared" si="59"/>
        <v>9</v>
      </c>
      <c r="W103" s="182">
        <f t="shared" si="59"/>
        <v>13</v>
      </c>
      <c r="X103" s="182">
        <f t="shared" si="59"/>
        <v>21</v>
      </c>
      <c r="Y103" s="182">
        <f t="shared" si="59"/>
        <v>23</v>
      </c>
      <c r="Z103" s="182">
        <f t="shared" si="59"/>
        <v>24</v>
      </c>
      <c r="AA103" s="182">
        <f t="shared" si="59"/>
        <v>35</v>
      </c>
      <c r="AB103" s="182">
        <f t="shared" si="59"/>
        <v>12</v>
      </c>
      <c r="AC103" s="182">
        <f t="shared" si="59"/>
        <v>20</v>
      </c>
      <c r="AD103" s="182">
        <f t="shared" si="59"/>
        <v>29</v>
      </c>
      <c r="AE103" s="182">
        <f t="shared" si="59"/>
        <v>7</v>
      </c>
      <c r="AF103" s="182">
        <f t="shared" si="59"/>
        <v>25</v>
      </c>
      <c r="AG103" s="182">
        <f t="shared" si="59"/>
        <v>8</v>
      </c>
      <c r="AH103" s="182">
        <f t="shared" si="59"/>
        <v>33</v>
      </c>
      <c r="AI103" s="182">
        <f t="shared" si="59"/>
        <v>34</v>
      </c>
      <c r="AJ103" s="182">
        <f t="shared" si="59"/>
        <v>31</v>
      </c>
      <c r="AK103" s="182">
        <f t="shared" si="59"/>
        <v>6</v>
      </c>
      <c r="AL103" s="182">
        <f t="shared" si="59"/>
        <v>22</v>
      </c>
      <c r="AM103" s="182"/>
      <c r="AN103" s="182"/>
      <c r="AO103" s="182"/>
      <c r="AP103" s="182"/>
      <c r="AQ103" s="182"/>
    </row>
    <row r="104" spans="1:43" x14ac:dyDescent="0.2">
      <c r="A104" s="26" t="s">
        <v>2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5"/>
      <c r="AN104" s="195"/>
    </row>
    <row r="105" spans="1:43" x14ac:dyDescent="0.2">
      <c r="A105" s="6" t="s">
        <v>4</v>
      </c>
      <c r="B105" s="45"/>
      <c r="C105" s="182">
        <v>1</v>
      </c>
      <c r="D105" s="182">
        <v>2</v>
      </c>
      <c r="E105" s="182">
        <v>3</v>
      </c>
      <c r="F105" s="182">
        <v>4</v>
      </c>
      <c r="G105" s="182">
        <v>5</v>
      </c>
      <c r="H105" s="182">
        <v>6</v>
      </c>
      <c r="I105" s="182">
        <v>7</v>
      </c>
      <c r="J105" s="182">
        <v>8</v>
      </c>
      <c r="K105" s="182">
        <v>9</v>
      </c>
      <c r="L105" s="182">
        <v>10</v>
      </c>
      <c r="M105" s="182">
        <v>11</v>
      </c>
      <c r="N105" s="182">
        <v>12</v>
      </c>
      <c r="O105" s="182">
        <v>13</v>
      </c>
      <c r="P105" s="182">
        <v>14</v>
      </c>
      <c r="Q105" s="182">
        <v>15</v>
      </c>
      <c r="R105" s="182">
        <v>16</v>
      </c>
      <c r="S105" s="182">
        <v>17</v>
      </c>
      <c r="T105" s="182">
        <v>18</v>
      </c>
      <c r="U105" s="182">
        <v>19</v>
      </c>
      <c r="V105" s="182">
        <v>20</v>
      </c>
      <c r="W105" s="182">
        <v>21</v>
      </c>
      <c r="X105" s="182">
        <v>22</v>
      </c>
      <c r="Y105" s="182">
        <v>23</v>
      </c>
      <c r="Z105" s="182">
        <v>24</v>
      </c>
      <c r="AA105" s="182">
        <v>24</v>
      </c>
      <c r="AB105" s="182">
        <v>26</v>
      </c>
      <c r="AC105" s="182">
        <v>27</v>
      </c>
      <c r="AD105" s="182">
        <v>28</v>
      </c>
      <c r="AE105" s="182">
        <v>29</v>
      </c>
      <c r="AF105" s="182">
        <v>30</v>
      </c>
      <c r="AG105" s="197">
        <v>31</v>
      </c>
      <c r="AH105" s="182">
        <v>32</v>
      </c>
      <c r="AI105" s="182">
        <v>33</v>
      </c>
      <c r="AJ105" s="197">
        <v>34</v>
      </c>
      <c r="AK105" s="182">
        <v>35</v>
      </c>
      <c r="AL105" s="197">
        <v>36</v>
      </c>
      <c r="AM105" s="197"/>
    </row>
    <row r="106" spans="1:43" ht="43.2" x14ac:dyDescent="0.2">
      <c r="A106" s="13" t="s">
        <v>27</v>
      </c>
      <c r="B106" s="59" t="s">
        <v>157</v>
      </c>
      <c r="C106" s="60" t="s">
        <v>369</v>
      </c>
      <c r="D106" s="61" t="s">
        <v>367</v>
      </c>
      <c r="E106" s="61" t="s">
        <v>365</v>
      </c>
      <c r="F106" s="61" t="s">
        <v>366</v>
      </c>
      <c r="G106" s="61" t="s">
        <v>342</v>
      </c>
      <c r="H106" s="61" t="s">
        <v>340</v>
      </c>
      <c r="I106" s="61" t="s">
        <v>351</v>
      </c>
      <c r="J106" s="61" t="s">
        <v>357</v>
      </c>
      <c r="K106" s="61" t="s">
        <v>343</v>
      </c>
      <c r="L106" s="61" t="s">
        <v>364</v>
      </c>
      <c r="M106" s="61" t="s">
        <v>339</v>
      </c>
      <c r="N106" s="61" t="s">
        <v>368</v>
      </c>
      <c r="O106" s="61" t="s">
        <v>335</v>
      </c>
      <c r="P106" s="61" t="s">
        <v>348</v>
      </c>
      <c r="Q106" s="61" t="s">
        <v>361</v>
      </c>
      <c r="R106" s="61" t="s">
        <v>362</v>
      </c>
      <c r="S106" s="61" t="s">
        <v>360</v>
      </c>
      <c r="T106" s="61" t="s">
        <v>344</v>
      </c>
      <c r="U106" s="61" t="s">
        <v>354</v>
      </c>
      <c r="V106" s="61" t="s">
        <v>363</v>
      </c>
      <c r="W106" s="61" t="s">
        <v>334</v>
      </c>
      <c r="X106" s="61" t="s">
        <v>346</v>
      </c>
      <c r="Y106" s="61" t="s">
        <v>337</v>
      </c>
      <c r="Z106" s="61" t="s">
        <v>350</v>
      </c>
      <c r="AA106" s="61" t="s">
        <v>358</v>
      </c>
      <c r="AB106" s="61" t="s">
        <v>356</v>
      </c>
      <c r="AC106" s="61" t="s">
        <v>345</v>
      </c>
      <c r="AD106" s="61" t="s">
        <v>359</v>
      </c>
      <c r="AE106" s="61" t="s">
        <v>349</v>
      </c>
      <c r="AF106" s="61" t="s">
        <v>341</v>
      </c>
      <c r="AG106" s="61" t="s">
        <v>413</v>
      </c>
      <c r="AH106" s="61" t="s">
        <v>353</v>
      </c>
      <c r="AI106" s="61" t="s">
        <v>347</v>
      </c>
      <c r="AJ106" s="61" t="s">
        <v>352</v>
      </c>
      <c r="AK106" s="61" t="s">
        <v>336</v>
      </c>
      <c r="AL106" s="61" t="s">
        <v>338</v>
      </c>
      <c r="AM106" s="63"/>
      <c r="AN106" s="5" t="s">
        <v>118</v>
      </c>
    </row>
    <row r="107" spans="1:43" x14ac:dyDescent="0.2">
      <c r="A107" s="269" t="str">
        <f>A91</f>
        <v>全体(n = 1,616 )　　</v>
      </c>
      <c r="B107" s="224" t="str">
        <f>B91</f>
        <v>1,616</v>
      </c>
      <c r="C107" s="121">
        <v>504</v>
      </c>
      <c r="D107" s="122">
        <v>504</v>
      </c>
      <c r="E107" s="122">
        <v>438</v>
      </c>
      <c r="F107" s="122">
        <v>396</v>
      </c>
      <c r="G107" s="122">
        <v>388</v>
      </c>
      <c r="H107" s="122">
        <v>330</v>
      </c>
      <c r="I107" s="122">
        <v>300</v>
      </c>
      <c r="J107" s="122">
        <v>237</v>
      </c>
      <c r="K107" s="122">
        <v>223</v>
      </c>
      <c r="L107" s="122">
        <v>210</v>
      </c>
      <c r="M107" s="122">
        <v>208</v>
      </c>
      <c r="N107" s="122">
        <v>201</v>
      </c>
      <c r="O107" s="122">
        <v>183</v>
      </c>
      <c r="P107" s="122">
        <v>178</v>
      </c>
      <c r="Q107" s="122">
        <v>165</v>
      </c>
      <c r="R107" s="122">
        <v>161</v>
      </c>
      <c r="S107" s="122">
        <v>161</v>
      </c>
      <c r="T107" s="122">
        <v>157</v>
      </c>
      <c r="U107" s="122">
        <v>145</v>
      </c>
      <c r="V107" s="122">
        <v>139</v>
      </c>
      <c r="W107" s="122">
        <v>135</v>
      </c>
      <c r="X107" s="122">
        <v>134</v>
      </c>
      <c r="Y107" s="122">
        <v>129</v>
      </c>
      <c r="Z107" s="122">
        <v>101</v>
      </c>
      <c r="AA107" s="122">
        <v>91</v>
      </c>
      <c r="AB107" s="122">
        <v>87</v>
      </c>
      <c r="AC107" s="122">
        <v>86</v>
      </c>
      <c r="AD107" s="122">
        <v>85</v>
      </c>
      <c r="AE107" s="122">
        <v>83</v>
      </c>
      <c r="AF107" s="122">
        <v>79</v>
      </c>
      <c r="AG107" s="122">
        <v>67</v>
      </c>
      <c r="AH107" s="122">
        <v>63</v>
      </c>
      <c r="AI107" s="122">
        <v>58</v>
      </c>
      <c r="AJ107" s="122">
        <v>55</v>
      </c>
      <c r="AK107" s="122">
        <v>49</v>
      </c>
      <c r="AL107" s="122">
        <v>14</v>
      </c>
      <c r="AM107" s="124"/>
      <c r="AN107" s="5">
        <f>SUM(C107:AM107)</f>
        <v>6544</v>
      </c>
    </row>
    <row r="108" spans="1:43" x14ac:dyDescent="0.2">
      <c r="A108" s="270"/>
      <c r="B108" s="114">
        <f t="shared" ref="B108:B118" si="60">B92</f>
        <v>100</v>
      </c>
      <c r="C108" s="125">
        <v>31.188118811881189</v>
      </c>
      <c r="D108" s="126">
        <v>31.188118811881189</v>
      </c>
      <c r="E108" s="126">
        <v>27.103960396039607</v>
      </c>
      <c r="F108" s="126">
        <v>24.504950495049506</v>
      </c>
      <c r="G108" s="126">
        <v>24.009900990099009</v>
      </c>
      <c r="H108" s="126">
        <v>20.420792079207921</v>
      </c>
      <c r="I108" s="126">
        <v>18.564356435643564</v>
      </c>
      <c r="J108" s="126">
        <v>14.665841584158414</v>
      </c>
      <c r="K108" s="126">
        <v>13.79950495049505</v>
      </c>
      <c r="L108" s="126">
        <v>12.995049504950495</v>
      </c>
      <c r="M108" s="126">
        <v>12.871287128712872</v>
      </c>
      <c r="N108" s="126">
        <v>12.438118811881187</v>
      </c>
      <c r="O108" s="126">
        <v>11.324257425742575</v>
      </c>
      <c r="P108" s="126">
        <v>11.014851485148515</v>
      </c>
      <c r="Q108" s="126">
        <v>10.21039603960396</v>
      </c>
      <c r="R108" s="126">
        <v>9.9628712871287135</v>
      </c>
      <c r="S108" s="126">
        <v>9.9628712871287135</v>
      </c>
      <c r="T108" s="126">
        <v>9.7153465346534649</v>
      </c>
      <c r="U108" s="126">
        <v>8.9727722772277225</v>
      </c>
      <c r="V108" s="126">
        <v>8.6014851485148505</v>
      </c>
      <c r="W108" s="126">
        <v>8.3539603960396036</v>
      </c>
      <c r="X108" s="126">
        <v>8.2920792079207928</v>
      </c>
      <c r="Y108" s="126">
        <v>7.9826732673267324</v>
      </c>
      <c r="Z108" s="126">
        <v>6.25</v>
      </c>
      <c r="AA108" s="126">
        <v>5.6311881188118811</v>
      </c>
      <c r="AB108" s="126">
        <v>5.3836633663366333</v>
      </c>
      <c r="AC108" s="126">
        <v>5.3217821782178216</v>
      </c>
      <c r="AD108" s="126">
        <v>5.2599009900990099</v>
      </c>
      <c r="AE108" s="126">
        <v>5.1361386138613856</v>
      </c>
      <c r="AF108" s="126">
        <v>4.8886138613861387</v>
      </c>
      <c r="AG108" s="126">
        <v>4.1460396039603964</v>
      </c>
      <c r="AH108" s="126">
        <v>3.8985148514851486</v>
      </c>
      <c r="AI108" s="126">
        <v>3.5891089108910887</v>
      </c>
      <c r="AJ108" s="126">
        <v>3.4034653465346536</v>
      </c>
      <c r="AK108" s="126">
        <v>3.032178217821782</v>
      </c>
      <c r="AL108" s="126">
        <v>0.86633663366336644</v>
      </c>
      <c r="AM108" s="128"/>
      <c r="AN108" s="195"/>
    </row>
    <row r="109" spans="1:43" x14ac:dyDescent="0.2">
      <c r="A109" s="269" t="str">
        <f>A93</f>
        <v>岐阜圏域(n = 617 )　　</v>
      </c>
      <c r="B109" s="113">
        <f t="shared" si="60"/>
        <v>617</v>
      </c>
      <c r="C109" s="129">
        <v>186</v>
      </c>
      <c r="D109" s="130">
        <v>186</v>
      </c>
      <c r="E109" s="130">
        <v>184</v>
      </c>
      <c r="F109" s="130">
        <v>124</v>
      </c>
      <c r="G109" s="130">
        <v>156</v>
      </c>
      <c r="H109" s="130">
        <v>107</v>
      </c>
      <c r="I109" s="130">
        <v>113</v>
      </c>
      <c r="J109" s="130">
        <v>94</v>
      </c>
      <c r="K109" s="130">
        <v>86</v>
      </c>
      <c r="L109" s="130">
        <v>86</v>
      </c>
      <c r="M109" s="130">
        <v>67</v>
      </c>
      <c r="N109" s="130">
        <v>75</v>
      </c>
      <c r="O109" s="130">
        <v>85</v>
      </c>
      <c r="P109" s="130">
        <v>65</v>
      </c>
      <c r="Q109" s="130">
        <v>69</v>
      </c>
      <c r="R109" s="130">
        <v>38</v>
      </c>
      <c r="S109" s="130">
        <v>71</v>
      </c>
      <c r="T109" s="130">
        <v>60</v>
      </c>
      <c r="U109" s="130">
        <v>61</v>
      </c>
      <c r="V109" s="130">
        <v>51</v>
      </c>
      <c r="W109" s="130">
        <v>48</v>
      </c>
      <c r="X109" s="130">
        <v>36</v>
      </c>
      <c r="Y109" s="130">
        <v>57</v>
      </c>
      <c r="Z109" s="130">
        <v>34</v>
      </c>
      <c r="AA109" s="130">
        <v>31</v>
      </c>
      <c r="AB109" s="130">
        <v>37</v>
      </c>
      <c r="AC109" s="130">
        <v>32</v>
      </c>
      <c r="AD109" s="130">
        <v>31</v>
      </c>
      <c r="AE109" s="130">
        <v>26</v>
      </c>
      <c r="AF109" s="130">
        <v>26</v>
      </c>
      <c r="AG109" s="130">
        <v>31</v>
      </c>
      <c r="AH109" s="130">
        <v>26</v>
      </c>
      <c r="AI109" s="130">
        <v>28</v>
      </c>
      <c r="AJ109" s="130">
        <v>23</v>
      </c>
      <c r="AK109" s="130">
        <v>9</v>
      </c>
      <c r="AL109" s="130">
        <v>6</v>
      </c>
      <c r="AM109" s="131"/>
      <c r="AN109" s="5">
        <f>SUM(C109:AM109)</f>
        <v>2445</v>
      </c>
    </row>
    <row r="110" spans="1:43" x14ac:dyDescent="0.2">
      <c r="A110" s="270"/>
      <c r="B110" s="114">
        <f t="shared" si="60"/>
        <v>38.180693069306933</v>
      </c>
      <c r="C110" s="125">
        <v>30.14586709886548</v>
      </c>
      <c r="D110" s="126">
        <v>30.14586709886548</v>
      </c>
      <c r="E110" s="126">
        <v>29.821717990275527</v>
      </c>
      <c r="F110" s="126">
        <v>20.097244732576986</v>
      </c>
      <c r="G110" s="126">
        <v>25.283630470016206</v>
      </c>
      <c r="H110" s="126">
        <v>17.341977309562399</v>
      </c>
      <c r="I110" s="126">
        <v>18.314424635332252</v>
      </c>
      <c r="J110" s="126">
        <v>15.235008103727715</v>
      </c>
      <c r="K110" s="126">
        <v>13.938411669367909</v>
      </c>
      <c r="L110" s="126">
        <v>13.938411669367909</v>
      </c>
      <c r="M110" s="126">
        <v>10.858995137763371</v>
      </c>
      <c r="N110" s="126">
        <v>12.155591572123177</v>
      </c>
      <c r="O110" s="126">
        <v>13.776337115072934</v>
      </c>
      <c r="P110" s="126">
        <v>10.534846029173419</v>
      </c>
      <c r="Q110" s="126">
        <v>11.183144246353322</v>
      </c>
      <c r="R110" s="126">
        <v>6.1588330632090758</v>
      </c>
      <c r="S110" s="126">
        <v>11.507293354943274</v>
      </c>
      <c r="T110" s="126">
        <v>9.7244732576985413</v>
      </c>
      <c r="U110" s="126">
        <v>9.8865478119935162</v>
      </c>
      <c r="V110" s="126">
        <v>8.2658022690437605</v>
      </c>
      <c r="W110" s="126">
        <v>7.7795786061588341</v>
      </c>
      <c r="X110" s="126">
        <v>5.8346839546191251</v>
      </c>
      <c r="Y110" s="126">
        <v>9.238249594813615</v>
      </c>
      <c r="Z110" s="126">
        <v>5.5105348460291737</v>
      </c>
      <c r="AA110" s="126">
        <v>5.0243111831442464</v>
      </c>
      <c r="AB110" s="126">
        <v>5.9967585089141</v>
      </c>
      <c r="AC110" s="126">
        <v>5.1863857374392222</v>
      </c>
      <c r="AD110" s="126">
        <v>5.0243111831442464</v>
      </c>
      <c r="AE110" s="126">
        <v>4.2139384116693677</v>
      </c>
      <c r="AF110" s="126">
        <v>4.2139384116693677</v>
      </c>
      <c r="AG110" s="126">
        <v>5.0243111831442464</v>
      </c>
      <c r="AH110" s="126">
        <v>4.2139384116693677</v>
      </c>
      <c r="AI110" s="126">
        <v>4.5380875202593192</v>
      </c>
      <c r="AJ110" s="126">
        <v>3.7277147487844409</v>
      </c>
      <c r="AK110" s="126">
        <v>1.4586709886547813</v>
      </c>
      <c r="AL110" s="126">
        <v>0.97244732576985426</v>
      </c>
      <c r="AM110" s="128"/>
      <c r="AN110" s="195"/>
    </row>
    <row r="111" spans="1:43" ht="13.5" customHeight="1" x14ac:dyDescent="0.2">
      <c r="A111" s="269" t="str">
        <f>A95</f>
        <v>西濃圏域(n = 290 )　　</v>
      </c>
      <c r="B111" s="113">
        <f t="shared" si="60"/>
        <v>290</v>
      </c>
      <c r="C111" s="129">
        <v>101</v>
      </c>
      <c r="D111" s="130">
        <v>94</v>
      </c>
      <c r="E111" s="130">
        <v>83</v>
      </c>
      <c r="F111" s="130">
        <v>72</v>
      </c>
      <c r="G111" s="130">
        <v>73</v>
      </c>
      <c r="H111" s="130">
        <v>58</v>
      </c>
      <c r="I111" s="130">
        <v>59</v>
      </c>
      <c r="J111" s="130">
        <v>37</v>
      </c>
      <c r="K111" s="130">
        <v>38</v>
      </c>
      <c r="L111" s="130">
        <v>48</v>
      </c>
      <c r="M111" s="130">
        <v>42</v>
      </c>
      <c r="N111" s="130">
        <v>33</v>
      </c>
      <c r="O111" s="130">
        <v>30</v>
      </c>
      <c r="P111" s="130">
        <v>36</v>
      </c>
      <c r="Q111" s="130">
        <v>35</v>
      </c>
      <c r="R111" s="130">
        <v>27</v>
      </c>
      <c r="S111" s="130">
        <v>30</v>
      </c>
      <c r="T111" s="130">
        <v>27</v>
      </c>
      <c r="U111" s="130">
        <v>21</v>
      </c>
      <c r="V111" s="130">
        <v>34</v>
      </c>
      <c r="W111" s="130">
        <v>25</v>
      </c>
      <c r="X111" s="130">
        <v>29</v>
      </c>
      <c r="Y111" s="130">
        <v>20</v>
      </c>
      <c r="Z111" s="130">
        <v>18</v>
      </c>
      <c r="AA111" s="130">
        <v>17</v>
      </c>
      <c r="AB111" s="130">
        <v>22</v>
      </c>
      <c r="AC111" s="130">
        <v>17</v>
      </c>
      <c r="AD111" s="130">
        <v>12</v>
      </c>
      <c r="AE111" s="130">
        <v>8</v>
      </c>
      <c r="AF111" s="130">
        <v>15</v>
      </c>
      <c r="AG111" s="130">
        <v>8</v>
      </c>
      <c r="AH111" s="130">
        <v>11</v>
      </c>
      <c r="AI111" s="130">
        <v>13</v>
      </c>
      <c r="AJ111" s="130">
        <v>10</v>
      </c>
      <c r="AK111" s="130">
        <v>8</v>
      </c>
      <c r="AL111" s="130">
        <v>4</v>
      </c>
      <c r="AM111" s="131"/>
      <c r="AN111" s="5">
        <f>SUM(C111:AM111)</f>
        <v>1215</v>
      </c>
    </row>
    <row r="112" spans="1:43" x14ac:dyDescent="0.2">
      <c r="A112" s="270"/>
      <c r="B112" s="114">
        <f t="shared" si="60"/>
        <v>17.945544554455445</v>
      </c>
      <c r="C112" s="125">
        <v>34.827586206896548</v>
      </c>
      <c r="D112" s="126">
        <v>32.41379310344827</v>
      </c>
      <c r="E112" s="126">
        <v>28.620689655172416</v>
      </c>
      <c r="F112" s="126">
        <v>24.827586206896552</v>
      </c>
      <c r="G112" s="126">
        <v>25.172413793103448</v>
      </c>
      <c r="H112" s="126">
        <v>20</v>
      </c>
      <c r="I112" s="126">
        <v>20.344827586206897</v>
      </c>
      <c r="J112" s="126">
        <v>12.758620689655173</v>
      </c>
      <c r="K112" s="126">
        <v>13.103448275862069</v>
      </c>
      <c r="L112" s="126">
        <v>16.551724137931036</v>
      </c>
      <c r="M112" s="126">
        <v>14.482758620689657</v>
      </c>
      <c r="N112" s="126">
        <v>11.379310344827587</v>
      </c>
      <c r="O112" s="126">
        <v>10.344827586206897</v>
      </c>
      <c r="P112" s="126">
        <v>12.413793103448276</v>
      </c>
      <c r="Q112" s="126">
        <v>12.068965517241379</v>
      </c>
      <c r="R112" s="126">
        <v>9.3103448275862082</v>
      </c>
      <c r="S112" s="126">
        <v>10.344827586206897</v>
      </c>
      <c r="T112" s="126">
        <v>9.3103448275862082</v>
      </c>
      <c r="U112" s="126">
        <v>7.2413793103448283</v>
      </c>
      <c r="V112" s="126">
        <v>11.724137931034482</v>
      </c>
      <c r="W112" s="126">
        <v>8.6206896551724146</v>
      </c>
      <c r="X112" s="126">
        <v>10</v>
      </c>
      <c r="Y112" s="126">
        <v>6.8965517241379306</v>
      </c>
      <c r="Z112" s="126">
        <v>6.2068965517241379</v>
      </c>
      <c r="AA112" s="126">
        <v>5.8620689655172411</v>
      </c>
      <c r="AB112" s="126">
        <v>7.5862068965517242</v>
      </c>
      <c r="AC112" s="126">
        <v>5.8620689655172411</v>
      </c>
      <c r="AD112" s="126">
        <v>4.1379310344827589</v>
      </c>
      <c r="AE112" s="126">
        <v>2.7586206896551726</v>
      </c>
      <c r="AF112" s="126">
        <v>5.1724137931034484</v>
      </c>
      <c r="AG112" s="126">
        <v>2.7586206896551726</v>
      </c>
      <c r="AH112" s="126">
        <v>3.7931034482758621</v>
      </c>
      <c r="AI112" s="126">
        <v>4.4827586206896548</v>
      </c>
      <c r="AJ112" s="126">
        <v>3.4482758620689653</v>
      </c>
      <c r="AK112" s="126">
        <v>2.7586206896551726</v>
      </c>
      <c r="AL112" s="126">
        <v>1.3793103448275863</v>
      </c>
      <c r="AM112" s="128"/>
      <c r="AN112" s="195"/>
    </row>
    <row r="113" spans="1:40" ht="13.5" customHeight="1" x14ac:dyDescent="0.2">
      <c r="A113" s="269" t="str">
        <f>A97</f>
        <v>中濃圏域(n = 300 )　　</v>
      </c>
      <c r="B113" s="113">
        <f t="shared" si="60"/>
        <v>300</v>
      </c>
      <c r="C113" s="129">
        <v>89</v>
      </c>
      <c r="D113" s="130">
        <v>96</v>
      </c>
      <c r="E113" s="130">
        <v>76</v>
      </c>
      <c r="F113" s="130">
        <v>73</v>
      </c>
      <c r="G113" s="130">
        <v>68</v>
      </c>
      <c r="H113" s="130">
        <v>70</v>
      </c>
      <c r="I113" s="130">
        <v>55</v>
      </c>
      <c r="J113" s="130">
        <v>50</v>
      </c>
      <c r="K113" s="130">
        <v>50</v>
      </c>
      <c r="L113" s="130">
        <v>38</v>
      </c>
      <c r="M113" s="130">
        <v>49</v>
      </c>
      <c r="N113" s="130">
        <v>43</v>
      </c>
      <c r="O113" s="130">
        <v>27</v>
      </c>
      <c r="P113" s="130">
        <v>28</v>
      </c>
      <c r="Q113" s="130">
        <v>22</v>
      </c>
      <c r="R113" s="130">
        <v>40</v>
      </c>
      <c r="S113" s="130">
        <v>26</v>
      </c>
      <c r="T113" s="130">
        <v>20</v>
      </c>
      <c r="U113" s="130">
        <v>37</v>
      </c>
      <c r="V113" s="130">
        <v>26</v>
      </c>
      <c r="W113" s="130">
        <v>26</v>
      </c>
      <c r="X113" s="130">
        <v>27</v>
      </c>
      <c r="Y113" s="130">
        <v>26</v>
      </c>
      <c r="Z113" s="130">
        <v>19</v>
      </c>
      <c r="AA113" s="130">
        <v>22</v>
      </c>
      <c r="AB113" s="130">
        <v>12</v>
      </c>
      <c r="AC113" s="130">
        <v>17</v>
      </c>
      <c r="AD113" s="130">
        <v>22</v>
      </c>
      <c r="AE113" s="130">
        <v>22</v>
      </c>
      <c r="AF113" s="130">
        <v>10</v>
      </c>
      <c r="AG113" s="130">
        <v>15</v>
      </c>
      <c r="AH113" s="130">
        <v>11</v>
      </c>
      <c r="AI113" s="130">
        <v>8</v>
      </c>
      <c r="AJ113" s="130">
        <v>5</v>
      </c>
      <c r="AK113" s="130">
        <v>14</v>
      </c>
      <c r="AL113" s="130">
        <v>2</v>
      </c>
      <c r="AM113" s="131"/>
      <c r="AN113" s="5">
        <f>SUM(C113:AM113)</f>
        <v>1241</v>
      </c>
    </row>
    <row r="114" spans="1:40" x14ac:dyDescent="0.2">
      <c r="A114" s="270"/>
      <c r="B114" s="114">
        <f t="shared" si="60"/>
        <v>18.564356435643564</v>
      </c>
      <c r="C114" s="125">
        <v>29.666666666666668</v>
      </c>
      <c r="D114" s="126">
        <v>32</v>
      </c>
      <c r="E114" s="126">
        <v>25.333333333333336</v>
      </c>
      <c r="F114" s="126">
        <v>24.333333333333336</v>
      </c>
      <c r="G114" s="126">
        <v>22.666666666666664</v>
      </c>
      <c r="H114" s="126">
        <v>23.333333333333332</v>
      </c>
      <c r="I114" s="126">
        <v>18.333333333333332</v>
      </c>
      <c r="J114" s="126">
        <v>16.666666666666664</v>
      </c>
      <c r="K114" s="126">
        <v>16.666666666666664</v>
      </c>
      <c r="L114" s="126">
        <v>12.666666666666668</v>
      </c>
      <c r="M114" s="126">
        <v>16.333333333333332</v>
      </c>
      <c r="N114" s="126">
        <v>14.333333333333334</v>
      </c>
      <c r="O114" s="126">
        <v>9</v>
      </c>
      <c r="P114" s="126">
        <v>9.3333333333333339</v>
      </c>
      <c r="Q114" s="126">
        <v>7.333333333333333</v>
      </c>
      <c r="R114" s="126">
        <v>13.333333333333334</v>
      </c>
      <c r="S114" s="126">
        <v>8.6666666666666679</v>
      </c>
      <c r="T114" s="126">
        <v>6.666666666666667</v>
      </c>
      <c r="U114" s="126">
        <v>12.333333333333334</v>
      </c>
      <c r="V114" s="126">
        <v>8.6666666666666679</v>
      </c>
      <c r="W114" s="126">
        <v>8.6666666666666679</v>
      </c>
      <c r="X114" s="126">
        <v>9</v>
      </c>
      <c r="Y114" s="126">
        <v>8.6666666666666679</v>
      </c>
      <c r="Z114" s="126">
        <v>6.3333333333333339</v>
      </c>
      <c r="AA114" s="126">
        <v>7.333333333333333</v>
      </c>
      <c r="AB114" s="126">
        <v>4</v>
      </c>
      <c r="AC114" s="126">
        <v>5.6666666666666661</v>
      </c>
      <c r="AD114" s="126">
        <v>7.333333333333333</v>
      </c>
      <c r="AE114" s="126">
        <v>7.333333333333333</v>
      </c>
      <c r="AF114" s="126">
        <v>3.3333333333333335</v>
      </c>
      <c r="AG114" s="126">
        <v>5</v>
      </c>
      <c r="AH114" s="126">
        <v>3.6666666666666665</v>
      </c>
      <c r="AI114" s="126">
        <v>2.666666666666667</v>
      </c>
      <c r="AJ114" s="126">
        <v>1.6666666666666667</v>
      </c>
      <c r="AK114" s="126">
        <v>4.666666666666667</v>
      </c>
      <c r="AL114" s="126">
        <v>0.66666666666666674</v>
      </c>
      <c r="AM114" s="128"/>
      <c r="AN114" s="195"/>
    </row>
    <row r="115" spans="1:40" ht="13.5" customHeight="1" x14ac:dyDescent="0.2">
      <c r="A115" s="269" t="str">
        <f>A99</f>
        <v>東濃圏域(n = 271 )　　</v>
      </c>
      <c r="B115" s="113">
        <f t="shared" si="60"/>
        <v>271</v>
      </c>
      <c r="C115" s="129">
        <v>81</v>
      </c>
      <c r="D115" s="130">
        <v>87</v>
      </c>
      <c r="E115" s="130">
        <v>62</v>
      </c>
      <c r="F115" s="130">
        <v>80</v>
      </c>
      <c r="G115" s="130">
        <v>56</v>
      </c>
      <c r="H115" s="130">
        <v>58</v>
      </c>
      <c r="I115" s="130">
        <v>55</v>
      </c>
      <c r="J115" s="130">
        <v>42</v>
      </c>
      <c r="K115" s="130">
        <v>30</v>
      </c>
      <c r="L115" s="130">
        <v>22</v>
      </c>
      <c r="M115" s="130">
        <v>35</v>
      </c>
      <c r="N115" s="130">
        <v>33</v>
      </c>
      <c r="O115" s="130">
        <v>26</v>
      </c>
      <c r="P115" s="130">
        <v>35</v>
      </c>
      <c r="Q115" s="130">
        <v>22</v>
      </c>
      <c r="R115" s="130">
        <v>41</v>
      </c>
      <c r="S115" s="130">
        <v>24</v>
      </c>
      <c r="T115" s="130">
        <v>28</v>
      </c>
      <c r="U115" s="130">
        <v>12</v>
      </c>
      <c r="V115" s="130">
        <v>15</v>
      </c>
      <c r="W115" s="130">
        <v>24</v>
      </c>
      <c r="X115" s="130">
        <v>30</v>
      </c>
      <c r="Y115" s="130">
        <v>15</v>
      </c>
      <c r="Z115" s="130">
        <v>16</v>
      </c>
      <c r="AA115" s="130">
        <v>10</v>
      </c>
      <c r="AB115" s="130">
        <v>12</v>
      </c>
      <c r="AC115" s="130">
        <v>15</v>
      </c>
      <c r="AD115" s="130">
        <v>10</v>
      </c>
      <c r="AE115" s="130">
        <v>16</v>
      </c>
      <c r="AF115" s="130">
        <v>20</v>
      </c>
      <c r="AG115" s="130">
        <v>8</v>
      </c>
      <c r="AH115" s="130">
        <v>9</v>
      </c>
      <c r="AI115" s="130">
        <v>5</v>
      </c>
      <c r="AJ115" s="130">
        <v>11</v>
      </c>
      <c r="AK115" s="130">
        <v>9</v>
      </c>
      <c r="AL115" s="130">
        <v>2</v>
      </c>
      <c r="AM115" s="131"/>
      <c r="AN115" s="5">
        <f>SUM(C115:AM115)</f>
        <v>1056</v>
      </c>
    </row>
    <row r="116" spans="1:40" x14ac:dyDescent="0.2">
      <c r="A116" s="270"/>
      <c r="B116" s="114">
        <f t="shared" si="60"/>
        <v>16.769801980198022</v>
      </c>
      <c r="C116" s="125">
        <v>29.889298892988929</v>
      </c>
      <c r="D116" s="126">
        <v>32.103321033210328</v>
      </c>
      <c r="E116" s="126">
        <v>22.878228782287824</v>
      </c>
      <c r="F116" s="126">
        <v>29.520295202952028</v>
      </c>
      <c r="G116" s="126">
        <v>20.664206642066421</v>
      </c>
      <c r="H116" s="126">
        <v>21.402214022140221</v>
      </c>
      <c r="I116" s="126">
        <v>20.29520295202952</v>
      </c>
      <c r="J116" s="126">
        <v>15.498154981549817</v>
      </c>
      <c r="K116" s="126">
        <v>11.07011070110701</v>
      </c>
      <c r="L116" s="126">
        <v>8.1180811808118083</v>
      </c>
      <c r="M116" s="126">
        <v>12.915129151291513</v>
      </c>
      <c r="N116" s="126">
        <v>12.177121771217712</v>
      </c>
      <c r="O116" s="126">
        <v>9.5940959409594093</v>
      </c>
      <c r="P116" s="126">
        <v>12.915129151291513</v>
      </c>
      <c r="Q116" s="126">
        <v>8.1180811808118083</v>
      </c>
      <c r="R116" s="126">
        <v>15.129151291512915</v>
      </c>
      <c r="S116" s="126">
        <v>8.8560885608856079</v>
      </c>
      <c r="T116" s="126">
        <v>10.332103321033211</v>
      </c>
      <c r="U116" s="126">
        <v>4.428044280442804</v>
      </c>
      <c r="V116" s="126">
        <v>5.5350553505535052</v>
      </c>
      <c r="W116" s="126">
        <v>8.8560885608856079</v>
      </c>
      <c r="X116" s="126">
        <v>11.07011070110701</v>
      </c>
      <c r="Y116" s="126">
        <v>5.5350553505535052</v>
      </c>
      <c r="Z116" s="126">
        <v>5.9040590405904059</v>
      </c>
      <c r="AA116" s="126">
        <v>3.6900369003690034</v>
      </c>
      <c r="AB116" s="126">
        <v>4.428044280442804</v>
      </c>
      <c r="AC116" s="126">
        <v>5.5350553505535052</v>
      </c>
      <c r="AD116" s="126">
        <v>3.6900369003690034</v>
      </c>
      <c r="AE116" s="126">
        <v>5.9040590405904059</v>
      </c>
      <c r="AF116" s="126">
        <v>7.3800738007380069</v>
      </c>
      <c r="AG116" s="126">
        <v>2.9520295202952029</v>
      </c>
      <c r="AH116" s="126">
        <v>3.3210332103321036</v>
      </c>
      <c r="AI116" s="126">
        <v>1.8450184501845017</v>
      </c>
      <c r="AJ116" s="126">
        <v>4.0590405904059041</v>
      </c>
      <c r="AK116" s="126">
        <v>3.3210332103321036</v>
      </c>
      <c r="AL116" s="126">
        <v>0.73800738007380073</v>
      </c>
      <c r="AM116" s="128"/>
      <c r="AN116" s="195"/>
    </row>
    <row r="117" spans="1:40" ht="13.5" customHeight="1" x14ac:dyDescent="0.2">
      <c r="A117" s="269" t="str">
        <f>A101</f>
        <v>飛騨圏域(n = 106 )　　</v>
      </c>
      <c r="B117" s="113">
        <f t="shared" si="60"/>
        <v>106</v>
      </c>
      <c r="C117" s="129">
        <v>36</v>
      </c>
      <c r="D117" s="130">
        <v>32</v>
      </c>
      <c r="E117" s="130">
        <v>22</v>
      </c>
      <c r="F117" s="130">
        <v>42</v>
      </c>
      <c r="G117" s="130">
        <v>28</v>
      </c>
      <c r="H117" s="130">
        <v>32</v>
      </c>
      <c r="I117" s="130">
        <v>12</v>
      </c>
      <c r="J117" s="130">
        <v>12</v>
      </c>
      <c r="K117" s="130">
        <v>11</v>
      </c>
      <c r="L117" s="130">
        <v>11</v>
      </c>
      <c r="M117" s="130">
        <v>9</v>
      </c>
      <c r="N117" s="130">
        <v>16</v>
      </c>
      <c r="O117" s="130">
        <v>13</v>
      </c>
      <c r="P117" s="130">
        <v>13</v>
      </c>
      <c r="Q117" s="130">
        <v>13</v>
      </c>
      <c r="R117" s="130">
        <v>13</v>
      </c>
      <c r="S117" s="130">
        <v>8</v>
      </c>
      <c r="T117" s="130">
        <v>21</v>
      </c>
      <c r="U117" s="130">
        <v>9</v>
      </c>
      <c r="V117" s="130">
        <v>12</v>
      </c>
      <c r="W117" s="130">
        <v>9</v>
      </c>
      <c r="X117" s="130">
        <v>11</v>
      </c>
      <c r="Y117" s="130">
        <v>9</v>
      </c>
      <c r="Z117" s="130">
        <v>10</v>
      </c>
      <c r="AA117" s="130">
        <v>10</v>
      </c>
      <c r="AB117" s="130">
        <v>3</v>
      </c>
      <c r="AC117" s="130">
        <v>2</v>
      </c>
      <c r="AD117" s="130">
        <v>8</v>
      </c>
      <c r="AE117" s="130">
        <v>11</v>
      </c>
      <c r="AF117" s="130">
        <v>7</v>
      </c>
      <c r="AG117" s="130">
        <v>5</v>
      </c>
      <c r="AH117" s="130">
        <v>2</v>
      </c>
      <c r="AI117" s="130">
        <v>3</v>
      </c>
      <c r="AJ117" s="130">
        <v>4</v>
      </c>
      <c r="AK117" s="130">
        <v>8</v>
      </c>
      <c r="AL117" s="130">
        <v>0</v>
      </c>
      <c r="AM117" s="131"/>
      <c r="AN117" s="5">
        <f>SUM(C117:AM117)</f>
        <v>467</v>
      </c>
    </row>
    <row r="118" spans="1:40" x14ac:dyDescent="0.2">
      <c r="A118" s="270"/>
      <c r="B118" s="114">
        <f t="shared" si="60"/>
        <v>6.5594059405940595</v>
      </c>
      <c r="C118" s="125">
        <v>33.962264150943398</v>
      </c>
      <c r="D118" s="126">
        <v>30.188679245283019</v>
      </c>
      <c r="E118" s="126">
        <v>20.754716981132077</v>
      </c>
      <c r="F118" s="126">
        <v>39.622641509433961</v>
      </c>
      <c r="G118" s="126">
        <v>26.415094339622641</v>
      </c>
      <c r="H118" s="126">
        <v>30.188679245283019</v>
      </c>
      <c r="I118" s="126">
        <v>11.320754716981133</v>
      </c>
      <c r="J118" s="126">
        <v>11.320754716981133</v>
      </c>
      <c r="K118" s="126">
        <v>10.377358490566039</v>
      </c>
      <c r="L118" s="126">
        <v>10.377358490566039</v>
      </c>
      <c r="M118" s="126">
        <v>8.4905660377358494</v>
      </c>
      <c r="N118" s="126">
        <v>15.09433962264151</v>
      </c>
      <c r="O118" s="126">
        <v>12.264150943396226</v>
      </c>
      <c r="P118" s="126">
        <v>12.264150943396226</v>
      </c>
      <c r="Q118" s="126">
        <v>12.264150943396226</v>
      </c>
      <c r="R118" s="126">
        <v>12.264150943396226</v>
      </c>
      <c r="S118" s="126">
        <v>7.5471698113207548</v>
      </c>
      <c r="T118" s="126">
        <v>19.811320754716981</v>
      </c>
      <c r="U118" s="126">
        <v>8.4905660377358494</v>
      </c>
      <c r="V118" s="126">
        <v>11.320754716981133</v>
      </c>
      <c r="W118" s="126">
        <v>8.4905660377358494</v>
      </c>
      <c r="X118" s="126">
        <v>10.377358490566039</v>
      </c>
      <c r="Y118" s="126">
        <v>8.4905660377358494</v>
      </c>
      <c r="Z118" s="126">
        <v>9.433962264150944</v>
      </c>
      <c r="AA118" s="126">
        <v>9.433962264150944</v>
      </c>
      <c r="AB118" s="126">
        <v>2.8301886792452833</v>
      </c>
      <c r="AC118" s="126">
        <v>1.8867924528301887</v>
      </c>
      <c r="AD118" s="126">
        <v>7.5471698113207548</v>
      </c>
      <c r="AE118" s="126">
        <v>10.377358490566039</v>
      </c>
      <c r="AF118" s="126">
        <v>6.6037735849056602</v>
      </c>
      <c r="AG118" s="126">
        <v>4.716981132075472</v>
      </c>
      <c r="AH118" s="126">
        <v>1.8867924528301887</v>
      </c>
      <c r="AI118" s="126">
        <v>2.8301886792452833</v>
      </c>
      <c r="AJ118" s="126">
        <v>3.7735849056603774</v>
      </c>
      <c r="AK118" s="126">
        <v>7.5471698113207548</v>
      </c>
      <c r="AL118" s="126">
        <v>0</v>
      </c>
      <c r="AM118" s="128"/>
      <c r="AN118" s="237"/>
    </row>
    <row r="119" spans="1:40" s="186" customFormat="1" x14ac:dyDescent="0.2">
      <c r="A119" s="184"/>
      <c r="B119" s="182"/>
      <c r="C119" s="182">
        <v>1</v>
      </c>
      <c r="D119" s="182">
        <v>1</v>
      </c>
      <c r="E119" s="182">
        <v>3</v>
      </c>
      <c r="F119" s="182">
        <v>4</v>
      </c>
      <c r="G119" s="182">
        <v>5</v>
      </c>
      <c r="H119" s="182">
        <v>6</v>
      </c>
      <c r="I119" s="182">
        <v>7</v>
      </c>
      <c r="J119" s="182">
        <v>8</v>
      </c>
      <c r="K119" s="182">
        <v>9</v>
      </c>
      <c r="L119" s="182">
        <v>10</v>
      </c>
      <c r="M119" s="182">
        <v>11</v>
      </c>
      <c r="N119" s="182">
        <v>12</v>
      </c>
      <c r="O119" s="182">
        <v>13</v>
      </c>
      <c r="P119" s="182">
        <v>14</v>
      </c>
      <c r="Q119" s="182">
        <v>15</v>
      </c>
      <c r="R119" s="182">
        <v>16</v>
      </c>
      <c r="S119" s="182">
        <v>16</v>
      </c>
      <c r="T119" s="182">
        <v>18</v>
      </c>
      <c r="U119" s="182">
        <v>19</v>
      </c>
      <c r="V119" s="182">
        <v>20</v>
      </c>
      <c r="W119" s="182">
        <v>21</v>
      </c>
      <c r="X119" s="182">
        <v>22</v>
      </c>
      <c r="Y119" s="182">
        <v>23</v>
      </c>
      <c r="Z119" s="182">
        <v>24</v>
      </c>
      <c r="AA119" s="182">
        <v>25</v>
      </c>
      <c r="AB119" s="182">
        <v>26</v>
      </c>
      <c r="AC119" s="182">
        <v>27</v>
      </c>
      <c r="AD119" s="182">
        <v>28</v>
      </c>
      <c r="AE119" s="182">
        <v>29</v>
      </c>
      <c r="AF119" s="182">
        <v>30</v>
      </c>
      <c r="AG119" s="182">
        <v>31</v>
      </c>
      <c r="AH119" s="182">
        <v>32</v>
      </c>
      <c r="AI119" s="182">
        <v>33</v>
      </c>
      <c r="AJ119" s="185">
        <v>34</v>
      </c>
      <c r="AK119" s="185">
        <v>35</v>
      </c>
      <c r="AL119" s="185">
        <v>36</v>
      </c>
      <c r="AM119" s="185"/>
      <c r="AN119" s="182">
        <f>SUM(C119:AM119)</f>
        <v>664</v>
      </c>
    </row>
    <row r="120" spans="1:40" x14ac:dyDescent="0.2">
      <c r="A120" s="26" t="s">
        <v>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5"/>
    </row>
    <row r="121" spans="1:40" ht="12.75" customHeight="1" x14ac:dyDescent="0.2">
      <c r="A121" s="6" t="s">
        <v>370</v>
      </c>
      <c r="B121" s="4"/>
      <c r="C121" s="27">
        <v>1</v>
      </c>
      <c r="D121" s="27">
        <v>2</v>
      </c>
      <c r="E121" s="27">
        <v>3</v>
      </c>
      <c r="F121" s="27">
        <v>4</v>
      </c>
      <c r="G121" s="27">
        <v>5</v>
      </c>
      <c r="H121" s="27">
        <v>6</v>
      </c>
      <c r="I121" s="27">
        <v>7</v>
      </c>
      <c r="J121" s="27">
        <v>8</v>
      </c>
      <c r="K121" s="27">
        <v>9</v>
      </c>
      <c r="L121" s="27">
        <v>10</v>
      </c>
      <c r="O121" s="172">
        <v>1</v>
      </c>
      <c r="P121" s="172">
        <v>2</v>
      </c>
      <c r="Q121" s="172">
        <v>3</v>
      </c>
      <c r="R121" s="172">
        <v>4</v>
      </c>
      <c r="S121" s="172">
        <v>5</v>
      </c>
      <c r="T121" s="172">
        <v>6</v>
      </c>
      <c r="U121" s="172">
        <v>7</v>
      </c>
      <c r="V121" s="172">
        <v>8</v>
      </c>
      <c r="W121" s="172">
        <v>9</v>
      </c>
      <c r="X121" s="172">
        <v>10</v>
      </c>
    </row>
    <row r="122" spans="1:40" ht="32.4" x14ac:dyDescent="0.2">
      <c r="A122" s="12" t="str">
        <f>A90</f>
        <v>【居住圏域別】</v>
      </c>
      <c r="B122" s="59" t="str">
        <f>B71</f>
        <v>調査数</v>
      </c>
      <c r="C122" s="60" t="str">
        <f t="shared" ref="C122:L122" si="61">C106</f>
        <v>防災対策</v>
      </c>
      <c r="D122" s="61" t="str">
        <f t="shared" si="61"/>
        <v>高齢者福祉</v>
      </c>
      <c r="E122" s="61" t="str">
        <f t="shared" si="61"/>
        <v>子育て支援</v>
      </c>
      <c r="F122" s="61" t="str">
        <f t="shared" si="61"/>
        <v>地域医療の確保</v>
      </c>
      <c r="G122" s="61" t="str">
        <f t="shared" si="61"/>
        <v>少子化対策</v>
      </c>
      <c r="H122" s="61" t="str">
        <f t="shared" si="61"/>
        <v>若者の県内定着</v>
      </c>
      <c r="I122" s="62" t="str">
        <f t="shared" si="61"/>
        <v>公共交通の充実</v>
      </c>
      <c r="J122" s="61" t="str">
        <f t="shared" si="61"/>
        <v>学校教育の充実</v>
      </c>
      <c r="K122" s="62" t="str">
        <f t="shared" si="61"/>
        <v>就労支援</v>
      </c>
      <c r="L122" s="63" t="str">
        <f t="shared" si="61"/>
        <v>防犯・交通安全対策</v>
      </c>
      <c r="M122" s="44" t="s">
        <v>32</v>
      </c>
      <c r="N122" s="12" t="str">
        <f>A122</f>
        <v>【居住圏域別】</v>
      </c>
      <c r="O122" s="60" t="str">
        <f t="shared" ref="O122:X122" si="62">C122</f>
        <v>防災対策</v>
      </c>
      <c r="P122" s="61" t="str">
        <f t="shared" si="62"/>
        <v>高齢者福祉</v>
      </c>
      <c r="Q122" s="61" t="str">
        <f t="shared" si="62"/>
        <v>子育て支援</v>
      </c>
      <c r="R122" s="61" t="str">
        <f t="shared" si="62"/>
        <v>地域医療の確保</v>
      </c>
      <c r="S122" s="61" t="str">
        <f t="shared" si="62"/>
        <v>少子化対策</v>
      </c>
      <c r="T122" s="61" t="str">
        <f t="shared" si="62"/>
        <v>若者の県内定着</v>
      </c>
      <c r="U122" s="61" t="str">
        <f t="shared" si="62"/>
        <v>公共交通の充実</v>
      </c>
      <c r="V122" s="61" t="str">
        <f t="shared" si="62"/>
        <v>学校教育の充実</v>
      </c>
      <c r="W122" s="62" t="str">
        <f t="shared" si="62"/>
        <v>就労支援</v>
      </c>
      <c r="X122" s="63" t="str">
        <f t="shared" si="62"/>
        <v>防犯・交通安全対策</v>
      </c>
    </row>
    <row r="123" spans="1:40" ht="12.75" customHeight="1" x14ac:dyDescent="0.2">
      <c r="A123" s="269" t="str">
        <f>A91</f>
        <v>全体(n = 1,616 )　　</v>
      </c>
      <c r="B123" s="224" t="str">
        <f t="shared" ref="B123:B134" si="63">B91</f>
        <v>1,616</v>
      </c>
      <c r="C123" s="121">
        <f t="shared" ref="C123:L123" si="64">C107</f>
        <v>504</v>
      </c>
      <c r="D123" s="122">
        <f t="shared" si="64"/>
        <v>504</v>
      </c>
      <c r="E123" s="122">
        <f t="shared" si="64"/>
        <v>438</v>
      </c>
      <c r="F123" s="122">
        <f t="shared" si="64"/>
        <v>396</v>
      </c>
      <c r="G123" s="122">
        <f t="shared" si="64"/>
        <v>388</v>
      </c>
      <c r="H123" s="122">
        <f t="shared" si="64"/>
        <v>330</v>
      </c>
      <c r="I123" s="123">
        <f t="shared" si="64"/>
        <v>300</v>
      </c>
      <c r="J123" s="122">
        <f t="shared" si="64"/>
        <v>237</v>
      </c>
      <c r="K123" s="123">
        <f t="shared" si="64"/>
        <v>223</v>
      </c>
      <c r="L123" s="124">
        <f t="shared" si="64"/>
        <v>210</v>
      </c>
      <c r="N123" s="93" t="str">
        <f>A125</f>
        <v>岐阜圏域(n = 617 )　　</v>
      </c>
      <c r="O123" s="84">
        <f t="shared" ref="O123:X123" si="65">C126</f>
        <v>30.14586709886548</v>
      </c>
      <c r="P123" s="85">
        <f t="shared" si="65"/>
        <v>30.14586709886548</v>
      </c>
      <c r="Q123" s="85">
        <f t="shared" si="65"/>
        <v>29.821717990275527</v>
      </c>
      <c r="R123" s="85">
        <f t="shared" si="65"/>
        <v>20.097244732576986</v>
      </c>
      <c r="S123" s="85">
        <f t="shared" si="65"/>
        <v>25.283630470016206</v>
      </c>
      <c r="T123" s="85">
        <f t="shared" si="65"/>
        <v>17.341977309562399</v>
      </c>
      <c r="U123" s="85">
        <f t="shared" si="65"/>
        <v>18.314424635332252</v>
      </c>
      <c r="V123" s="85">
        <f t="shared" si="65"/>
        <v>15.235008103727715</v>
      </c>
      <c r="W123" s="86">
        <f t="shared" si="65"/>
        <v>13.938411669367909</v>
      </c>
      <c r="X123" s="87">
        <f t="shared" si="65"/>
        <v>13.938411669367909</v>
      </c>
    </row>
    <row r="124" spans="1:40" ht="12.75" customHeight="1" x14ac:dyDescent="0.2">
      <c r="A124" s="270"/>
      <c r="B124" s="114">
        <f t="shared" si="63"/>
        <v>100</v>
      </c>
      <c r="C124" s="125">
        <f t="shared" ref="C124:L124" si="66">C108</f>
        <v>31.188118811881189</v>
      </c>
      <c r="D124" s="126">
        <f t="shared" si="66"/>
        <v>31.188118811881189</v>
      </c>
      <c r="E124" s="126">
        <f t="shared" si="66"/>
        <v>27.103960396039607</v>
      </c>
      <c r="F124" s="126">
        <f t="shared" si="66"/>
        <v>24.504950495049506</v>
      </c>
      <c r="G124" s="126">
        <f t="shared" si="66"/>
        <v>24.009900990099009</v>
      </c>
      <c r="H124" s="126">
        <f t="shared" si="66"/>
        <v>20.420792079207921</v>
      </c>
      <c r="I124" s="127">
        <f t="shared" si="66"/>
        <v>18.564356435643564</v>
      </c>
      <c r="J124" s="126">
        <f t="shared" si="66"/>
        <v>14.665841584158414</v>
      </c>
      <c r="K124" s="127">
        <f t="shared" si="66"/>
        <v>13.79950495049505</v>
      </c>
      <c r="L124" s="128">
        <f t="shared" si="66"/>
        <v>12.995049504950495</v>
      </c>
      <c r="N124" s="95" t="str">
        <f>A127</f>
        <v>西濃圏域(n = 290 )　　</v>
      </c>
      <c r="O124" s="88">
        <f t="shared" ref="O124:X124" si="67">C128</f>
        <v>34.827586206896548</v>
      </c>
      <c r="P124" s="89">
        <f t="shared" si="67"/>
        <v>32.41379310344827</v>
      </c>
      <c r="Q124" s="89">
        <f t="shared" si="67"/>
        <v>28.620689655172416</v>
      </c>
      <c r="R124" s="89">
        <f t="shared" si="67"/>
        <v>24.827586206896552</v>
      </c>
      <c r="S124" s="89">
        <f t="shared" si="67"/>
        <v>25.172413793103448</v>
      </c>
      <c r="T124" s="89">
        <f t="shared" si="67"/>
        <v>20</v>
      </c>
      <c r="U124" s="89">
        <f t="shared" si="67"/>
        <v>20.344827586206897</v>
      </c>
      <c r="V124" s="89">
        <f t="shared" si="67"/>
        <v>12.758620689655173</v>
      </c>
      <c r="W124" s="90">
        <f t="shared" si="67"/>
        <v>13.103448275862069</v>
      </c>
      <c r="X124" s="91">
        <f t="shared" si="67"/>
        <v>16.551724137931036</v>
      </c>
    </row>
    <row r="125" spans="1:40" ht="12.75" customHeight="1" x14ac:dyDescent="0.2">
      <c r="A125" s="269" t="str">
        <f>A93</f>
        <v>岐阜圏域(n = 617 )　　</v>
      </c>
      <c r="B125" s="113">
        <f t="shared" si="63"/>
        <v>617</v>
      </c>
      <c r="C125" s="129">
        <f t="shared" ref="C125:L125" si="68">C109</f>
        <v>186</v>
      </c>
      <c r="D125" s="130">
        <f t="shared" si="68"/>
        <v>186</v>
      </c>
      <c r="E125" s="130">
        <f t="shared" si="68"/>
        <v>184</v>
      </c>
      <c r="F125" s="130">
        <f t="shared" si="68"/>
        <v>124</v>
      </c>
      <c r="G125" s="130">
        <f t="shared" si="68"/>
        <v>156</v>
      </c>
      <c r="H125" s="130">
        <f t="shared" si="68"/>
        <v>107</v>
      </c>
      <c r="I125" s="140">
        <f t="shared" si="68"/>
        <v>113</v>
      </c>
      <c r="J125" s="130">
        <f t="shared" si="68"/>
        <v>94</v>
      </c>
      <c r="K125" s="140">
        <f t="shared" si="68"/>
        <v>86</v>
      </c>
      <c r="L125" s="131">
        <f t="shared" si="68"/>
        <v>86</v>
      </c>
      <c r="N125" s="95" t="str">
        <f>A129</f>
        <v>中濃圏域(n = 300 )　　</v>
      </c>
      <c r="O125" s="88">
        <f t="shared" ref="O125:X125" si="69">C130</f>
        <v>29.666666666666668</v>
      </c>
      <c r="P125" s="89">
        <f t="shared" si="69"/>
        <v>32</v>
      </c>
      <c r="Q125" s="89">
        <f t="shared" si="69"/>
        <v>25.333333333333336</v>
      </c>
      <c r="R125" s="89">
        <f t="shared" si="69"/>
        <v>24.333333333333336</v>
      </c>
      <c r="S125" s="89">
        <f t="shared" si="69"/>
        <v>22.666666666666664</v>
      </c>
      <c r="T125" s="89">
        <f t="shared" si="69"/>
        <v>23.333333333333332</v>
      </c>
      <c r="U125" s="89">
        <f t="shared" si="69"/>
        <v>18.333333333333332</v>
      </c>
      <c r="V125" s="89">
        <f t="shared" si="69"/>
        <v>16.666666666666664</v>
      </c>
      <c r="W125" s="90">
        <f t="shared" si="69"/>
        <v>16.666666666666664</v>
      </c>
      <c r="X125" s="91">
        <f t="shared" si="69"/>
        <v>12.666666666666668</v>
      </c>
    </row>
    <row r="126" spans="1:40" ht="13.5" customHeight="1" x14ac:dyDescent="0.2">
      <c r="A126" s="270"/>
      <c r="B126" s="114">
        <f t="shared" si="63"/>
        <v>38.180693069306933</v>
      </c>
      <c r="C126" s="125">
        <f t="shared" ref="C126:L126" si="70">C110</f>
        <v>30.14586709886548</v>
      </c>
      <c r="D126" s="126">
        <f t="shared" si="70"/>
        <v>30.14586709886548</v>
      </c>
      <c r="E126" s="126">
        <f t="shared" si="70"/>
        <v>29.821717990275527</v>
      </c>
      <c r="F126" s="126">
        <f t="shared" si="70"/>
        <v>20.097244732576986</v>
      </c>
      <c r="G126" s="126">
        <f t="shared" si="70"/>
        <v>25.283630470016206</v>
      </c>
      <c r="H126" s="126">
        <f t="shared" si="70"/>
        <v>17.341977309562399</v>
      </c>
      <c r="I126" s="127">
        <f t="shared" si="70"/>
        <v>18.314424635332252</v>
      </c>
      <c r="J126" s="126">
        <f t="shared" si="70"/>
        <v>15.235008103727715</v>
      </c>
      <c r="K126" s="127">
        <f t="shared" si="70"/>
        <v>13.938411669367909</v>
      </c>
      <c r="L126" s="128">
        <f t="shared" si="70"/>
        <v>13.938411669367909</v>
      </c>
      <c r="N126" s="95" t="str">
        <f>A131</f>
        <v>東濃圏域(n = 271 )　　</v>
      </c>
      <c r="O126" s="88">
        <f t="shared" ref="O126:X126" si="71">C132</f>
        <v>29.889298892988929</v>
      </c>
      <c r="P126" s="89">
        <f t="shared" si="71"/>
        <v>32.103321033210328</v>
      </c>
      <c r="Q126" s="89">
        <f t="shared" si="71"/>
        <v>22.878228782287824</v>
      </c>
      <c r="R126" s="89">
        <f t="shared" si="71"/>
        <v>29.520295202952028</v>
      </c>
      <c r="S126" s="89">
        <f t="shared" si="71"/>
        <v>20.664206642066421</v>
      </c>
      <c r="T126" s="89">
        <f t="shared" si="71"/>
        <v>21.402214022140221</v>
      </c>
      <c r="U126" s="89">
        <f t="shared" si="71"/>
        <v>20.29520295202952</v>
      </c>
      <c r="V126" s="89">
        <f t="shared" si="71"/>
        <v>15.498154981549817</v>
      </c>
      <c r="W126" s="90">
        <f t="shared" si="71"/>
        <v>11.07011070110701</v>
      </c>
      <c r="X126" s="91">
        <f t="shared" si="71"/>
        <v>8.1180811808118083</v>
      </c>
    </row>
    <row r="127" spans="1:40" ht="13.5" customHeight="1" x14ac:dyDescent="0.2">
      <c r="A127" s="269" t="str">
        <f>A95</f>
        <v>西濃圏域(n = 290 )　　</v>
      </c>
      <c r="B127" s="113">
        <f t="shared" si="63"/>
        <v>290</v>
      </c>
      <c r="C127" s="129">
        <f t="shared" ref="C127:L127" si="72">C111</f>
        <v>101</v>
      </c>
      <c r="D127" s="130">
        <f t="shared" si="72"/>
        <v>94</v>
      </c>
      <c r="E127" s="130">
        <f t="shared" si="72"/>
        <v>83</v>
      </c>
      <c r="F127" s="130">
        <f t="shared" si="72"/>
        <v>72</v>
      </c>
      <c r="G127" s="130">
        <f t="shared" si="72"/>
        <v>73</v>
      </c>
      <c r="H127" s="130">
        <f t="shared" si="72"/>
        <v>58</v>
      </c>
      <c r="I127" s="140">
        <f t="shared" si="72"/>
        <v>59</v>
      </c>
      <c r="J127" s="130">
        <f t="shared" si="72"/>
        <v>37</v>
      </c>
      <c r="K127" s="140">
        <f t="shared" si="72"/>
        <v>38</v>
      </c>
      <c r="L127" s="131">
        <f t="shared" si="72"/>
        <v>48</v>
      </c>
      <c r="N127" s="94" t="str">
        <f>A133</f>
        <v>飛騨圏域(n = 106 )　　</v>
      </c>
      <c r="O127" s="78">
        <f t="shared" ref="O127:X127" si="73">C134</f>
        <v>33.962264150943398</v>
      </c>
      <c r="P127" s="79">
        <f t="shared" si="73"/>
        <v>30.188679245283019</v>
      </c>
      <c r="Q127" s="79">
        <f t="shared" si="73"/>
        <v>20.754716981132077</v>
      </c>
      <c r="R127" s="79">
        <f t="shared" si="73"/>
        <v>39.622641509433961</v>
      </c>
      <c r="S127" s="79">
        <f t="shared" si="73"/>
        <v>26.415094339622641</v>
      </c>
      <c r="T127" s="79">
        <f t="shared" si="73"/>
        <v>30.188679245283019</v>
      </c>
      <c r="U127" s="79">
        <f t="shared" si="73"/>
        <v>11.320754716981133</v>
      </c>
      <c r="V127" s="79">
        <f t="shared" si="73"/>
        <v>11.320754716981133</v>
      </c>
      <c r="W127" s="80">
        <f t="shared" si="73"/>
        <v>10.377358490566039</v>
      </c>
      <c r="X127" s="81">
        <f t="shared" si="73"/>
        <v>10.377358490566039</v>
      </c>
    </row>
    <row r="128" spans="1:40" x14ac:dyDescent="0.2">
      <c r="A128" s="270"/>
      <c r="B128" s="114">
        <f t="shared" si="63"/>
        <v>17.945544554455445</v>
      </c>
      <c r="C128" s="125">
        <f t="shared" ref="C128:L128" si="74">C112</f>
        <v>34.827586206896548</v>
      </c>
      <c r="D128" s="126">
        <f t="shared" si="74"/>
        <v>32.41379310344827</v>
      </c>
      <c r="E128" s="126">
        <f t="shared" si="74"/>
        <v>28.620689655172416</v>
      </c>
      <c r="F128" s="126">
        <f t="shared" si="74"/>
        <v>24.827586206896552</v>
      </c>
      <c r="G128" s="126">
        <f t="shared" si="74"/>
        <v>25.172413793103448</v>
      </c>
      <c r="H128" s="126">
        <f t="shared" si="74"/>
        <v>20</v>
      </c>
      <c r="I128" s="127">
        <f t="shared" si="74"/>
        <v>20.344827586206897</v>
      </c>
      <c r="J128" s="126">
        <f t="shared" si="74"/>
        <v>12.758620689655173</v>
      </c>
      <c r="K128" s="127">
        <f t="shared" si="74"/>
        <v>13.103448275862069</v>
      </c>
      <c r="L128" s="128">
        <f t="shared" si="74"/>
        <v>16.551724137931036</v>
      </c>
    </row>
    <row r="129" spans="1:43" ht="13.5" customHeight="1" x14ac:dyDescent="0.2">
      <c r="A129" s="269" t="str">
        <f>A97</f>
        <v>中濃圏域(n = 300 )　　</v>
      </c>
      <c r="B129" s="113">
        <f t="shared" si="63"/>
        <v>300</v>
      </c>
      <c r="C129" s="129">
        <f t="shared" ref="C129:L129" si="75">C113</f>
        <v>89</v>
      </c>
      <c r="D129" s="130">
        <f t="shared" si="75"/>
        <v>96</v>
      </c>
      <c r="E129" s="130">
        <f t="shared" si="75"/>
        <v>76</v>
      </c>
      <c r="F129" s="130">
        <f t="shared" si="75"/>
        <v>73</v>
      </c>
      <c r="G129" s="130">
        <f t="shared" si="75"/>
        <v>68</v>
      </c>
      <c r="H129" s="130">
        <f t="shared" si="75"/>
        <v>70</v>
      </c>
      <c r="I129" s="140">
        <f t="shared" si="75"/>
        <v>55</v>
      </c>
      <c r="J129" s="130">
        <f t="shared" si="75"/>
        <v>50</v>
      </c>
      <c r="K129" s="140">
        <f t="shared" si="75"/>
        <v>50</v>
      </c>
      <c r="L129" s="131">
        <f t="shared" si="75"/>
        <v>38</v>
      </c>
    </row>
    <row r="130" spans="1:43" x14ac:dyDescent="0.2">
      <c r="A130" s="270"/>
      <c r="B130" s="114">
        <f t="shared" si="63"/>
        <v>18.564356435643564</v>
      </c>
      <c r="C130" s="125">
        <f t="shared" ref="C130:L130" si="76">C114</f>
        <v>29.666666666666668</v>
      </c>
      <c r="D130" s="126">
        <f t="shared" si="76"/>
        <v>32</v>
      </c>
      <c r="E130" s="126">
        <f t="shared" si="76"/>
        <v>25.333333333333336</v>
      </c>
      <c r="F130" s="126">
        <f t="shared" si="76"/>
        <v>24.333333333333336</v>
      </c>
      <c r="G130" s="126">
        <f t="shared" si="76"/>
        <v>22.666666666666664</v>
      </c>
      <c r="H130" s="126">
        <f t="shared" si="76"/>
        <v>23.333333333333332</v>
      </c>
      <c r="I130" s="127">
        <f t="shared" si="76"/>
        <v>18.333333333333332</v>
      </c>
      <c r="J130" s="126">
        <f t="shared" si="76"/>
        <v>16.666666666666664</v>
      </c>
      <c r="K130" s="127">
        <f t="shared" si="76"/>
        <v>16.666666666666664</v>
      </c>
      <c r="L130" s="128">
        <f t="shared" si="76"/>
        <v>12.666666666666668</v>
      </c>
    </row>
    <row r="131" spans="1:43" ht="13.5" customHeight="1" x14ac:dyDescent="0.2">
      <c r="A131" s="269" t="str">
        <f>A99</f>
        <v>東濃圏域(n = 271 )　　</v>
      </c>
      <c r="B131" s="113">
        <f t="shared" si="63"/>
        <v>271</v>
      </c>
      <c r="C131" s="129">
        <f t="shared" ref="C131:L131" si="77">C115</f>
        <v>81</v>
      </c>
      <c r="D131" s="130">
        <f t="shared" si="77"/>
        <v>87</v>
      </c>
      <c r="E131" s="130">
        <f t="shared" si="77"/>
        <v>62</v>
      </c>
      <c r="F131" s="130">
        <f t="shared" si="77"/>
        <v>80</v>
      </c>
      <c r="G131" s="130">
        <f t="shared" si="77"/>
        <v>56</v>
      </c>
      <c r="H131" s="130">
        <f t="shared" si="77"/>
        <v>58</v>
      </c>
      <c r="I131" s="140">
        <f t="shared" si="77"/>
        <v>55</v>
      </c>
      <c r="J131" s="130">
        <f t="shared" si="77"/>
        <v>42</v>
      </c>
      <c r="K131" s="140">
        <f t="shared" si="77"/>
        <v>30</v>
      </c>
      <c r="L131" s="131">
        <f t="shared" si="77"/>
        <v>22</v>
      </c>
    </row>
    <row r="132" spans="1:43" x14ac:dyDescent="0.2">
      <c r="A132" s="270"/>
      <c r="B132" s="114">
        <f t="shared" si="63"/>
        <v>16.769801980198022</v>
      </c>
      <c r="C132" s="125">
        <f t="shared" ref="C132:L132" si="78">C116</f>
        <v>29.889298892988929</v>
      </c>
      <c r="D132" s="126">
        <f t="shared" si="78"/>
        <v>32.103321033210328</v>
      </c>
      <c r="E132" s="126">
        <f t="shared" si="78"/>
        <v>22.878228782287824</v>
      </c>
      <c r="F132" s="126">
        <f t="shared" si="78"/>
        <v>29.520295202952028</v>
      </c>
      <c r="G132" s="126">
        <f t="shared" si="78"/>
        <v>20.664206642066421</v>
      </c>
      <c r="H132" s="126">
        <f t="shared" si="78"/>
        <v>21.402214022140221</v>
      </c>
      <c r="I132" s="127">
        <f t="shared" si="78"/>
        <v>20.29520295202952</v>
      </c>
      <c r="J132" s="126">
        <f t="shared" si="78"/>
        <v>15.498154981549817</v>
      </c>
      <c r="K132" s="127">
        <f t="shared" si="78"/>
        <v>11.07011070110701</v>
      </c>
      <c r="L132" s="128">
        <f t="shared" si="78"/>
        <v>8.1180811808118083</v>
      </c>
    </row>
    <row r="133" spans="1:43" ht="13.5" customHeight="1" x14ac:dyDescent="0.2">
      <c r="A133" s="269" t="str">
        <f>A101</f>
        <v>飛騨圏域(n = 106 )　　</v>
      </c>
      <c r="B133" s="113">
        <f t="shared" si="63"/>
        <v>106</v>
      </c>
      <c r="C133" s="129">
        <f t="shared" ref="C133:L133" si="79">C117</f>
        <v>36</v>
      </c>
      <c r="D133" s="130">
        <f t="shared" si="79"/>
        <v>32</v>
      </c>
      <c r="E133" s="130">
        <f t="shared" si="79"/>
        <v>22</v>
      </c>
      <c r="F133" s="130">
        <f t="shared" si="79"/>
        <v>42</v>
      </c>
      <c r="G133" s="130">
        <f t="shared" si="79"/>
        <v>28</v>
      </c>
      <c r="H133" s="130">
        <f t="shared" si="79"/>
        <v>32</v>
      </c>
      <c r="I133" s="140">
        <f t="shared" si="79"/>
        <v>12</v>
      </c>
      <c r="J133" s="130">
        <f t="shared" si="79"/>
        <v>12</v>
      </c>
      <c r="K133" s="140">
        <f t="shared" si="79"/>
        <v>11</v>
      </c>
      <c r="L133" s="131">
        <f t="shared" si="79"/>
        <v>11</v>
      </c>
    </row>
    <row r="134" spans="1:43" x14ac:dyDescent="0.2">
      <c r="A134" s="270"/>
      <c r="B134" s="114">
        <f t="shared" si="63"/>
        <v>6.5594059405940595</v>
      </c>
      <c r="C134" s="125">
        <f t="shared" ref="C134:L134" si="80">C118</f>
        <v>33.962264150943398</v>
      </c>
      <c r="D134" s="126">
        <f t="shared" si="80"/>
        <v>30.188679245283019</v>
      </c>
      <c r="E134" s="126">
        <f t="shared" si="80"/>
        <v>20.754716981132077</v>
      </c>
      <c r="F134" s="126">
        <f t="shared" si="80"/>
        <v>39.622641509433961</v>
      </c>
      <c r="G134" s="126">
        <f t="shared" si="80"/>
        <v>26.415094339622641</v>
      </c>
      <c r="H134" s="126">
        <f t="shared" si="80"/>
        <v>30.188679245283019</v>
      </c>
      <c r="I134" s="127">
        <f t="shared" si="80"/>
        <v>11.320754716981133</v>
      </c>
      <c r="J134" s="126">
        <f t="shared" si="80"/>
        <v>11.320754716981133</v>
      </c>
      <c r="K134" s="127">
        <f t="shared" si="80"/>
        <v>10.377358490566039</v>
      </c>
      <c r="L134" s="128">
        <f t="shared" si="80"/>
        <v>10.377358490566039</v>
      </c>
    </row>
    <row r="136" spans="1:43" x14ac:dyDescent="0.2">
      <c r="A136" s="3" t="s">
        <v>420</v>
      </c>
      <c r="B136" s="1" t="str">
        <f>B89</f>
        <v>重点的に進めるべきだと思う分野</v>
      </c>
      <c r="C136" s="8"/>
      <c r="D136" s="9"/>
      <c r="E136" s="8"/>
      <c r="F136" s="8"/>
      <c r="G136" s="8"/>
      <c r="H136" s="9" t="s">
        <v>1</v>
      </c>
      <c r="I136" s="8"/>
      <c r="J136" s="8"/>
      <c r="K136" s="8"/>
      <c r="L136" s="8"/>
      <c r="M136" s="9" t="s">
        <v>1</v>
      </c>
      <c r="N136" s="8"/>
      <c r="O136" s="8"/>
      <c r="P136" s="8"/>
      <c r="Q136" s="9" t="s">
        <v>1</v>
      </c>
      <c r="R136" s="8"/>
      <c r="S136" s="8"/>
      <c r="T136" s="8"/>
      <c r="U136" s="8"/>
      <c r="V136" s="9" t="s">
        <v>1</v>
      </c>
      <c r="W136" s="8"/>
      <c r="X136" s="8"/>
      <c r="Y136" s="8"/>
      <c r="Z136" s="9" t="s">
        <v>1</v>
      </c>
      <c r="AA136" s="8"/>
      <c r="AB136" s="8"/>
      <c r="AC136" s="8"/>
      <c r="AD136" s="8"/>
      <c r="AE136" s="9" t="s">
        <v>1</v>
      </c>
      <c r="AF136" s="8"/>
      <c r="AG136" s="8"/>
      <c r="AH136" s="8"/>
      <c r="AI136" s="9" t="s">
        <v>1</v>
      </c>
    </row>
    <row r="137" spans="1:43" ht="43.2" x14ac:dyDescent="0.2">
      <c r="A137" s="13" t="s">
        <v>29</v>
      </c>
      <c r="B137" s="59" t="str">
        <f>B90</f>
        <v>調査数</v>
      </c>
      <c r="C137" s="60" t="str">
        <f t="shared" ref="C137:AL137" si="81">C90</f>
        <v>防災対策</v>
      </c>
      <c r="D137" s="61" t="str">
        <f t="shared" si="81"/>
        <v>自然環境保全</v>
      </c>
      <c r="E137" s="61" t="str">
        <f t="shared" si="81"/>
        <v>住環境保全</v>
      </c>
      <c r="F137" s="61" t="str">
        <f t="shared" si="81"/>
        <v>廃棄物対策</v>
      </c>
      <c r="G137" s="61" t="str">
        <f t="shared" si="81"/>
        <v>消費者保護</v>
      </c>
      <c r="H137" s="61" t="str">
        <f t="shared" si="81"/>
        <v>防犯・交通安全対策</v>
      </c>
      <c r="I137" s="61" t="str">
        <f t="shared" si="81"/>
        <v>地域コミュニティの活性化</v>
      </c>
      <c r="J137" s="61" t="str">
        <f t="shared" si="81"/>
        <v>地域医療の確保</v>
      </c>
      <c r="K137" s="61" t="str">
        <f t="shared" si="81"/>
        <v>健康増進</v>
      </c>
      <c r="L137" s="61" t="str">
        <f t="shared" si="81"/>
        <v>食品の安全対策</v>
      </c>
      <c r="M137" s="61" t="str">
        <f t="shared" si="81"/>
        <v>薬物対策</v>
      </c>
      <c r="N137" s="61" t="str">
        <f t="shared" si="81"/>
        <v>高齢者福祉</v>
      </c>
      <c r="O137" s="61" t="str">
        <f t="shared" si="81"/>
        <v>障がい者福祉</v>
      </c>
      <c r="P137" s="61" t="str">
        <f t="shared" si="81"/>
        <v>少子化対策</v>
      </c>
      <c r="Q137" s="61" t="str">
        <f t="shared" si="81"/>
        <v>子育て支援</v>
      </c>
      <c r="R137" s="61" t="str">
        <f t="shared" si="81"/>
        <v>中小企業支援</v>
      </c>
      <c r="S137" s="61" t="str">
        <f t="shared" si="81"/>
        <v>企業誘致</v>
      </c>
      <c r="T137" s="61" t="str">
        <f t="shared" si="81"/>
        <v>成長産業分野の振興</v>
      </c>
      <c r="U137" s="61" t="str">
        <f t="shared" si="81"/>
        <v>観光振興</v>
      </c>
      <c r="V137" s="61" t="str">
        <f t="shared" si="81"/>
        <v>就労支援</v>
      </c>
      <c r="W137" s="61" t="str">
        <f t="shared" si="81"/>
        <v>労働環境改善</v>
      </c>
      <c r="X137" s="61" t="str">
        <f t="shared" si="81"/>
        <v>様々な産業を担う人材の育成</v>
      </c>
      <c r="Y137" s="61" t="str">
        <f t="shared" si="81"/>
        <v>女性の活躍推進</v>
      </c>
      <c r="Z137" s="61" t="str">
        <f t="shared" si="81"/>
        <v>農業等振興</v>
      </c>
      <c r="AA137" s="61" t="str">
        <f t="shared" si="81"/>
        <v>林業振興</v>
      </c>
      <c r="AB137" s="61" t="str">
        <f t="shared" si="81"/>
        <v>道路整備・維持管理</v>
      </c>
      <c r="AC137" s="61" t="str">
        <f t="shared" si="81"/>
        <v>河川整備・維持管理</v>
      </c>
      <c r="AD137" s="61" t="str">
        <f t="shared" si="81"/>
        <v>砂防対策</v>
      </c>
      <c r="AE137" s="61" t="str">
        <f t="shared" si="81"/>
        <v>公共交通の充実</v>
      </c>
      <c r="AF137" s="61" t="str">
        <f t="shared" si="81"/>
        <v>公園整備</v>
      </c>
      <c r="AG137" s="61" t="str">
        <f t="shared" si="81"/>
        <v>学校教育の充実</v>
      </c>
      <c r="AH137" s="61" t="str">
        <f t="shared" si="81"/>
        <v>社会教育・生涯学習の充実</v>
      </c>
      <c r="AI137" s="61" t="str">
        <f t="shared" si="81"/>
        <v>文化・芸術の振興</v>
      </c>
      <c r="AJ137" s="61" t="str">
        <f t="shared" si="81"/>
        <v>スポーツやレクリエーションの推進</v>
      </c>
      <c r="AK137" s="61" t="str">
        <f t="shared" si="81"/>
        <v>若者の県内定着</v>
      </c>
      <c r="AL137" s="61" t="str">
        <f t="shared" si="81"/>
        <v>県外からの移住・定住の推進</v>
      </c>
      <c r="AM137" s="63"/>
      <c r="AN137" s="5" t="s">
        <v>118</v>
      </c>
    </row>
    <row r="138" spans="1:43" ht="13.5" customHeight="1" x14ac:dyDescent="0.2">
      <c r="A138" s="269" t="str">
        <f>'問10-2M（表）'!A138</f>
        <v>全体(n = 1,616 )　　</v>
      </c>
      <c r="B138" s="34">
        <f>'問9S（表）'!B68</f>
        <v>1616</v>
      </c>
      <c r="C138" s="31">
        <f>$C$3</f>
        <v>504</v>
      </c>
      <c r="D138" s="32">
        <f>$D$3</f>
        <v>161</v>
      </c>
      <c r="E138" s="32">
        <f>$E$3</f>
        <v>86</v>
      </c>
      <c r="F138" s="32">
        <f>$F$3</f>
        <v>165</v>
      </c>
      <c r="G138" s="32">
        <f>$G$3</f>
        <v>208</v>
      </c>
      <c r="H138" s="32">
        <f>$H$3</f>
        <v>210</v>
      </c>
      <c r="I138" s="32">
        <f>$I$3</f>
        <v>87</v>
      </c>
      <c r="J138" s="32">
        <f>$J$3</f>
        <v>396</v>
      </c>
      <c r="K138" s="32">
        <f>$K$3</f>
        <v>85</v>
      </c>
      <c r="L138" s="32">
        <f>$L$3</f>
        <v>63</v>
      </c>
      <c r="M138" s="32">
        <f>$M$3</f>
        <v>14</v>
      </c>
      <c r="N138" s="32">
        <f>$N$3</f>
        <v>504</v>
      </c>
      <c r="O138" s="32">
        <f>$O$3</f>
        <v>145</v>
      </c>
      <c r="P138" s="32">
        <f>$P$3</f>
        <v>388</v>
      </c>
      <c r="Q138" s="32">
        <f>$Q$3</f>
        <v>438</v>
      </c>
      <c r="R138" s="32">
        <f>$R$3</f>
        <v>178</v>
      </c>
      <c r="S138" s="32">
        <f>$S$3</f>
        <v>157</v>
      </c>
      <c r="T138" s="32">
        <f>$T$3</f>
        <v>79</v>
      </c>
      <c r="U138" s="32">
        <f>$U$3</f>
        <v>161</v>
      </c>
      <c r="V138" s="32">
        <f>$V$3</f>
        <v>223</v>
      </c>
      <c r="W138" s="32">
        <f>$W$3</f>
        <v>183</v>
      </c>
      <c r="X138" s="32">
        <f>$X$3</f>
        <v>135</v>
      </c>
      <c r="Y138" s="32">
        <f>$Y$3</f>
        <v>129</v>
      </c>
      <c r="Z138" s="32">
        <f>$Z$3</f>
        <v>101</v>
      </c>
      <c r="AA138" s="32">
        <f>$AA$3</f>
        <v>49</v>
      </c>
      <c r="AB138" s="32">
        <f>$AB$3</f>
        <v>201</v>
      </c>
      <c r="AC138" s="32">
        <f>$AC$3</f>
        <v>139</v>
      </c>
      <c r="AD138" s="32">
        <f>$AD$3</f>
        <v>83</v>
      </c>
      <c r="AE138" s="32">
        <f>$AE$3</f>
        <v>300</v>
      </c>
      <c r="AF138" s="32">
        <f>$AF$3</f>
        <v>91</v>
      </c>
      <c r="AG138" s="32">
        <f>$AG$3</f>
        <v>237</v>
      </c>
      <c r="AH138" s="32">
        <f>$AH$3</f>
        <v>58</v>
      </c>
      <c r="AI138" s="32">
        <f>$AI$3</f>
        <v>55</v>
      </c>
      <c r="AJ138" s="32">
        <f>$AJ$3</f>
        <v>67</v>
      </c>
      <c r="AK138" s="32">
        <f>$AK$3</f>
        <v>330</v>
      </c>
      <c r="AL138" s="32">
        <f>$AL$3</f>
        <v>134</v>
      </c>
      <c r="AM138" s="33"/>
      <c r="AN138" s="5">
        <f>SUM(C138:AM138)</f>
        <v>6544</v>
      </c>
    </row>
    <row r="139" spans="1:43" x14ac:dyDescent="0.2">
      <c r="A139" s="270"/>
      <c r="B139" s="35">
        <f>'問9S（表）'!B69</f>
        <v>100</v>
      </c>
      <c r="C139" s="20">
        <f t="shared" ref="C139:AL139" si="82">C138/$B$138*100</f>
        <v>31.188118811881189</v>
      </c>
      <c r="D139" s="207">
        <f t="shared" si="82"/>
        <v>9.9628712871287135</v>
      </c>
      <c r="E139" s="207">
        <f t="shared" si="82"/>
        <v>5.3217821782178216</v>
      </c>
      <c r="F139" s="207">
        <f t="shared" si="82"/>
        <v>10.21039603960396</v>
      </c>
      <c r="G139" s="207">
        <f t="shared" si="82"/>
        <v>12.871287128712872</v>
      </c>
      <c r="H139" s="207">
        <f t="shared" si="82"/>
        <v>12.995049504950495</v>
      </c>
      <c r="I139" s="207">
        <f t="shared" si="82"/>
        <v>5.3836633663366333</v>
      </c>
      <c r="J139" s="207">
        <f t="shared" si="82"/>
        <v>24.504950495049506</v>
      </c>
      <c r="K139" s="207">
        <f t="shared" si="82"/>
        <v>5.2599009900990099</v>
      </c>
      <c r="L139" s="207">
        <f t="shared" si="82"/>
        <v>3.8985148514851486</v>
      </c>
      <c r="M139" s="207">
        <f t="shared" si="82"/>
        <v>0.86633663366336644</v>
      </c>
      <c r="N139" s="207">
        <f t="shared" si="82"/>
        <v>31.188118811881189</v>
      </c>
      <c r="O139" s="207">
        <f t="shared" si="82"/>
        <v>8.9727722772277225</v>
      </c>
      <c r="P139" s="207">
        <f t="shared" si="82"/>
        <v>24.009900990099009</v>
      </c>
      <c r="Q139" s="207">
        <f t="shared" si="82"/>
        <v>27.103960396039607</v>
      </c>
      <c r="R139" s="207">
        <f t="shared" si="82"/>
        <v>11.014851485148515</v>
      </c>
      <c r="S139" s="207">
        <f t="shared" si="82"/>
        <v>9.7153465346534649</v>
      </c>
      <c r="T139" s="207">
        <f t="shared" si="82"/>
        <v>4.8886138613861387</v>
      </c>
      <c r="U139" s="207">
        <f t="shared" si="82"/>
        <v>9.9628712871287135</v>
      </c>
      <c r="V139" s="207">
        <f t="shared" si="82"/>
        <v>13.79950495049505</v>
      </c>
      <c r="W139" s="207">
        <f t="shared" si="82"/>
        <v>11.324257425742575</v>
      </c>
      <c r="X139" s="207">
        <f t="shared" si="82"/>
        <v>8.3539603960396036</v>
      </c>
      <c r="Y139" s="207">
        <f t="shared" si="82"/>
        <v>7.9826732673267324</v>
      </c>
      <c r="Z139" s="207">
        <f t="shared" si="82"/>
        <v>6.25</v>
      </c>
      <c r="AA139" s="207">
        <f t="shared" si="82"/>
        <v>3.032178217821782</v>
      </c>
      <c r="AB139" s="207">
        <f t="shared" si="82"/>
        <v>12.438118811881187</v>
      </c>
      <c r="AC139" s="207">
        <f t="shared" si="82"/>
        <v>8.6014851485148505</v>
      </c>
      <c r="AD139" s="207">
        <f t="shared" si="82"/>
        <v>5.1361386138613856</v>
      </c>
      <c r="AE139" s="207">
        <f t="shared" si="82"/>
        <v>18.564356435643564</v>
      </c>
      <c r="AF139" s="207">
        <f t="shared" si="82"/>
        <v>5.6311881188118811</v>
      </c>
      <c r="AG139" s="207">
        <f t="shared" si="82"/>
        <v>14.665841584158414</v>
      </c>
      <c r="AH139" s="207">
        <f t="shared" si="82"/>
        <v>3.5891089108910887</v>
      </c>
      <c r="AI139" s="207">
        <f t="shared" si="82"/>
        <v>3.4034653465346536</v>
      </c>
      <c r="AJ139" s="207">
        <f t="shared" si="82"/>
        <v>4.1460396039603964</v>
      </c>
      <c r="AK139" s="207">
        <f t="shared" si="82"/>
        <v>20.420792079207921</v>
      </c>
      <c r="AL139" s="207">
        <f t="shared" si="82"/>
        <v>8.2920792079207928</v>
      </c>
      <c r="AM139" s="208"/>
      <c r="AN139" s="195"/>
    </row>
    <row r="140" spans="1:43" ht="13.5" customHeight="1" x14ac:dyDescent="0.2">
      <c r="A140" s="269" t="str">
        <f>'問10-2M（表）'!A140</f>
        <v>自営業(n = 175 )　　</v>
      </c>
      <c r="B140" s="34">
        <f>'問9S（表）'!B70</f>
        <v>175</v>
      </c>
      <c r="C140" s="31">
        <v>51</v>
      </c>
      <c r="D140" s="32">
        <v>15</v>
      </c>
      <c r="E140" s="32">
        <v>14</v>
      </c>
      <c r="F140" s="32">
        <v>20</v>
      </c>
      <c r="G140" s="32">
        <v>24</v>
      </c>
      <c r="H140" s="32">
        <v>23</v>
      </c>
      <c r="I140" s="32">
        <v>7</v>
      </c>
      <c r="J140" s="32">
        <v>36</v>
      </c>
      <c r="K140" s="32">
        <v>7</v>
      </c>
      <c r="L140" s="32">
        <v>5</v>
      </c>
      <c r="M140" s="32">
        <v>2</v>
      </c>
      <c r="N140" s="32">
        <v>49</v>
      </c>
      <c r="O140" s="32">
        <v>4</v>
      </c>
      <c r="P140" s="32">
        <v>43</v>
      </c>
      <c r="Q140" s="32">
        <v>40</v>
      </c>
      <c r="R140" s="32">
        <v>37</v>
      </c>
      <c r="S140" s="32">
        <v>17</v>
      </c>
      <c r="T140" s="32">
        <v>10</v>
      </c>
      <c r="U140" s="32">
        <v>21</v>
      </c>
      <c r="V140" s="32">
        <v>16</v>
      </c>
      <c r="W140" s="32">
        <v>12</v>
      </c>
      <c r="X140" s="32">
        <v>22</v>
      </c>
      <c r="Y140" s="32">
        <v>9</v>
      </c>
      <c r="Z140" s="32">
        <v>16</v>
      </c>
      <c r="AA140" s="32">
        <v>7</v>
      </c>
      <c r="AB140" s="32">
        <v>19</v>
      </c>
      <c r="AC140" s="32">
        <v>14</v>
      </c>
      <c r="AD140" s="32">
        <v>6</v>
      </c>
      <c r="AE140" s="32">
        <v>26</v>
      </c>
      <c r="AF140" s="32">
        <v>10</v>
      </c>
      <c r="AG140" s="32">
        <v>23</v>
      </c>
      <c r="AH140" s="32">
        <v>6</v>
      </c>
      <c r="AI140" s="32">
        <v>3</v>
      </c>
      <c r="AJ140" s="32">
        <v>9</v>
      </c>
      <c r="AK140" s="32">
        <v>37</v>
      </c>
      <c r="AL140" s="32">
        <v>18</v>
      </c>
      <c r="AM140" s="33"/>
      <c r="AN140" s="5">
        <f>SUM(C140:AM140)</f>
        <v>678</v>
      </c>
      <c r="AO140" t="str">
        <f>" 自営業（ n = "&amp;B140&amp;"）"</f>
        <v xml:space="preserve"> 自営業（ n = 175）</v>
      </c>
      <c r="AQ140">
        <v>1</v>
      </c>
    </row>
    <row r="141" spans="1:43" x14ac:dyDescent="0.2">
      <c r="A141" s="270"/>
      <c r="B141" s="35">
        <f>'問9S（表）'!B71</f>
        <v>10.829207920792079</v>
      </c>
      <c r="C141" s="20">
        <f t="shared" ref="C141:AL141" si="83">C140/$B$140*100</f>
        <v>29.142857142857142</v>
      </c>
      <c r="D141" s="207">
        <f t="shared" si="83"/>
        <v>8.5714285714285712</v>
      </c>
      <c r="E141" s="207">
        <f t="shared" si="83"/>
        <v>8</v>
      </c>
      <c r="F141" s="207">
        <f t="shared" si="83"/>
        <v>11.428571428571429</v>
      </c>
      <c r="G141" s="207">
        <f t="shared" si="83"/>
        <v>13.714285714285715</v>
      </c>
      <c r="H141" s="207">
        <f t="shared" si="83"/>
        <v>13.142857142857142</v>
      </c>
      <c r="I141" s="207">
        <f t="shared" si="83"/>
        <v>4</v>
      </c>
      <c r="J141" s="207">
        <f t="shared" si="83"/>
        <v>20.571428571428569</v>
      </c>
      <c r="K141" s="207">
        <f t="shared" si="83"/>
        <v>4</v>
      </c>
      <c r="L141" s="207">
        <f t="shared" si="83"/>
        <v>2.8571428571428572</v>
      </c>
      <c r="M141" s="207">
        <f t="shared" si="83"/>
        <v>1.1428571428571428</v>
      </c>
      <c r="N141" s="207">
        <f t="shared" si="83"/>
        <v>28.000000000000004</v>
      </c>
      <c r="O141" s="207">
        <f t="shared" si="83"/>
        <v>2.2857142857142856</v>
      </c>
      <c r="P141" s="207">
        <f t="shared" si="83"/>
        <v>24.571428571428573</v>
      </c>
      <c r="Q141" s="207">
        <f t="shared" si="83"/>
        <v>22.857142857142858</v>
      </c>
      <c r="R141" s="207">
        <f t="shared" si="83"/>
        <v>21.142857142857142</v>
      </c>
      <c r="S141" s="207">
        <f t="shared" si="83"/>
        <v>9.7142857142857135</v>
      </c>
      <c r="T141" s="207">
        <f t="shared" si="83"/>
        <v>5.7142857142857144</v>
      </c>
      <c r="U141" s="207">
        <f t="shared" si="83"/>
        <v>12</v>
      </c>
      <c r="V141" s="207">
        <f t="shared" si="83"/>
        <v>9.1428571428571423</v>
      </c>
      <c r="W141" s="207">
        <f t="shared" si="83"/>
        <v>6.8571428571428577</v>
      </c>
      <c r="X141" s="207">
        <f t="shared" si="83"/>
        <v>12.571428571428573</v>
      </c>
      <c r="Y141" s="207">
        <f t="shared" si="83"/>
        <v>5.1428571428571423</v>
      </c>
      <c r="Z141" s="207">
        <f t="shared" si="83"/>
        <v>9.1428571428571423</v>
      </c>
      <c r="AA141" s="207">
        <f t="shared" si="83"/>
        <v>4</v>
      </c>
      <c r="AB141" s="207">
        <f t="shared" si="83"/>
        <v>10.857142857142858</v>
      </c>
      <c r="AC141" s="207">
        <f t="shared" si="83"/>
        <v>8</v>
      </c>
      <c r="AD141" s="207">
        <f t="shared" si="83"/>
        <v>3.4285714285714288</v>
      </c>
      <c r="AE141" s="207">
        <f t="shared" si="83"/>
        <v>14.857142857142858</v>
      </c>
      <c r="AF141" s="207">
        <f t="shared" si="83"/>
        <v>5.7142857142857144</v>
      </c>
      <c r="AG141" s="207">
        <f t="shared" si="83"/>
        <v>13.142857142857142</v>
      </c>
      <c r="AH141" s="207">
        <f t="shared" si="83"/>
        <v>3.4285714285714288</v>
      </c>
      <c r="AI141" s="207">
        <f t="shared" si="83"/>
        <v>1.7142857142857144</v>
      </c>
      <c r="AJ141" s="207">
        <f t="shared" si="83"/>
        <v>5.1428571428571423</v>
      </c>
      <c r="AK141" s="207">
        <f t="shared" si="83"/>
        <v>21.142857142857142</v>
      </c>
      <c r="AL141" s="207">
        <f t="shared" si="83"/>
        <v>10.285714285714285</v>
      </c>
      <c r="AM141" s="208"/>
      <c r="AN141" s="195"/>
    </row>
    <row r="142" spans="1:43" ht="13.5" customHeight="1" x14ac:dyDescent="0.2">
      <c r="A142" s="269" t="str">
        <f>'問10-2M（表）'!A142</f>
        <v>自由業(※1)(n = 12 )　　</v>
      </c>
      <c r="B142" s="34">
        <f>'問9S（表）'!B72</f>
        <v>12</v>
      </c>
      <c r="C142" s="31">
        <v>3</v>
      </c>
      <c r="D142" s="32">
        <v>1</v>
      </c>
      <c r="E142" s="32">
        <v>0</v>
      </c>
      <c r="F142" s="32">
        <v>1</v>
      </c>
      <c r="G142" s="32">
        <v>1</v>
      </c>
      <c r="H142" s="32">
        <v>1</v>
      </c>
      <c r="I142" s="32">
        <v>0</v>
      </c>
      <c r="J142" s="32">
        <v>4</v>
      </c>
      <c r="K142" s="32">
        <v>1</v>
      </c>
      <c r="L142" s="32">
        <v>0</v>
      </c>
      <c r="M142" s="32">
        <v>0</v>
      </c>
      <c r="N142" s="32">
        <v>2</v>
      </c>
      <c r="O142" s="32">
        <v>1</v>
      </c>
      <c r="P142" s="32">
        <v>1</v>
      </c>
      <c r="Q142" s="32">
        <v>2</v>
      </c>
      <c r="R142" s="32">
        <v>3</v>
      </c>
      <c r="S142" s="32">
        <v>3</v>
      </c>
      <c r="T142" s="32">
        <v>2</v>
      </c>
      <c r="U142" s="32">
        <v>3</v>
      </c>
      <c r="V142" s="32">
        <v>5</v>
      </c>
      <c r="W142" s="32">
        <v>1</v>
      </c>
      <c r="X142" s="32">
        <v>0</v>
      </c>
      <c r="Y142" s="32">
        <v>1</v>
      </c>
      <c r="Z142" s="32">
        <v>2</v>
      </c>
      <c r="AA142" s="32">
        <v>1</v>
      </c>
      <c r="AB142" s="32">
        <v>2</v>
      </c>
      <c r="AC142" s="32">
        <v>1</v>
      </c>
      <c r="AD142" s="32">
        <v>0</v>
      </c>
      <c r="AE142" s="32">
        <v>1</v>
      </c>
      <c r="AF142" s="32">
        <v>0</v>
      </c>
      <c r="AG142" s="32">
        <v>3</v>
      </c>
      <c r="AH142" s="32">
        <v>0</v>
      </c>
      <c r="AI142" s="32">
        <v>0</v>
      </c>
      <c r="AJ142" s="32">
        <v>1</v>
      </c>
      <c r="AK142" s="32">
        <v>2</v>
      </c>
      <c r="AL142" s="32">
        <v>0</v>
      </c>
      <c r="AM142" s="33"/>
      <c r="AN142" s="5">
        <f>SUM(C142:AM142)</f>
        <v>49</v>
      </c>
      <c r="AO142" t="str">
        <f>" 自由業（ n = "&amp;B142&amp;"）"</f>
        <v xml:space="preserve"> 自由業（ n = 12）</v>
      </c>
      <c r="AQ142">
        <v>2</v>
      </c>
    </row>
    <row r="143" spans="1:43" x14ac:dyDescent="0.2">
      <c r="A143" s="270"/>
      <c r="B143" s="35">
        <f>'問9S（表）'!B73</f>
        <v>0.74257425742574257</v>
      </c>
      <c r="C143" s="20">
        <f t="shared" ref="C143:AL143" si="84">C142/$B$142*100</f>
        <v>25</v>
      </c>
      <c r="D143" s="207">
        <f t="shared" si="84"/>
        <v>8.3333333333333321</v>
      </c>
      <c r="E143" s="207">
        <f t="shared" si="84"/>
        <v>0</v>
      </c>
      <c r="F143" s="207">
        <f t="shared" si="84"/>
        <v>8.3333333333333321</v>
      </c>
      <c r="G143" s="207">
        <f t="shared" si="84"/>
        <v>8.3333333333333321</v>
      </c>
      <c r="H143" s="207">
        <f t="shared" si="84"/>
        <v>8.3333333333333321</v>
      </c>
      <c r="I143" s="207">
        <f t="shared" si="84"/>
        <v>0</v>
      </c>
      <c r="J143" s="207">
        <f t="shared" si="84"/>
        <v>33.333333333333329</v>
      </c>
      <c r="K143" s="207">
        <f t="shared" si="84"/>
        <v>8.3333333333333321</v>
      </c>
      <c r="L143" s="207">
        <f t="shared" si="84"/>
        <v>0</v>
      </c>
      <c r="M143" s="207">
        <f t="shared" si="84"/>
        <v>0</v>
      </c>
      <c r="N143" s="207">
        <f t="shared" si="84"/>
        <v>16.666666666666664</v>
      </c>
      <c r="O143" s="207">
        <f t="shared" si="84"/>
        <v>8.3333333333333321</v>
      </c>
      <c r="P143" s="207">
        <f t="shared" si="84"/>
        <v>8.3333333333333321</v>
      </c>
      <c r="Q143" s="207">
        <f t="shared" si="84"/>
        <v>16.666666666666664</v>
      </c>
      <c r="R143" s="207">
        <f t="shared" si="84"/>
        <v>25</v>
      </c>
      <c r="S143" s="207">
        <f t="shared" si="84"/>
        <v>25</v>
      </c>
      <c r="T143" s="207">
        <f t="shared" si="84"/>
        <v>16.666666666666664</v>
      </c>
      <c r="U143" s="207">
        <f t="shared" si="84"/>
        <v>25</v>
      </c>
      <c r="V143" s="207">
        <f t="shared" si="84"/>
        <v>41.666666666666671</v>
      </c>
      <c r="W143" s="207">
        <f t="shared" si="84"/>
        <v>8.3333333333333321</v>
      </c>
      <c r="X143" s="207">
        <f t="shared" si="84"/>
        <v>0</v>
      </c>
      <c r="Y143" s="207">
        <f t="shared" si="84"/>
        <v>8.3333333333333321</v>
      </c>
      <c r="Z143" s="207">
        <f t="shared" si="84"/>
        <v>16.666666666666664</v>
      </c>
      <c r="AA143" s="207">
        <f t="shared" si="84"/>
        <v>8.3333333333333321</v>
      </c>
      <c r="AB143" s="207">
        <f t="shared" si="84"/>
        <v>16.666666666666664</v>
      </c>
      <c r="AC143" s="207">
        <f t="shared" si="84"/>
        <v>8.3333333333333321</v>
      </c>
      <c r="AD143" s="207">
        <f t="shared" si="84"/>
        <v>0</v>
      </c>
      <c r="AE143" s="207">
        <f t="shared" si="84"/>
        <v>8.3333333333333321</v>
      </c>
      <c r="AF143" s="207">
        <f t="shared" si="84"/>
        <v>0</v>
      </c>
      <c r="AG143" s="207">
        <f t="shared" si="84"/>
        <v>25</v>
      </c>
      <c r="AH143" s="207">
        <f t="shared" si="84"/>
        <v>0</v>
      </c>
      <c r="AI143" s="207">
        <f t="shared" si="84"/>
        <v>0</v>
      </c>
      <c r="AJ143" s="207">
        <f t="shared" si="84"/>
        <v>8.3333333333333321</v>
      </c>
      <c r="AK143" s="207">
        <f t="shared" si="84"/>
        <v>16.666666666666664</v>
      </c>
      <c r="AL143" s="207">
        <f t="shared" si="84"/>
        <v>0</v>
      </c>
      <c r="AM143" s="208"/>
      <c r="AN143" s="195"/>
    </row>
    <row r="144" spans="1:43" ht="13.5" customHeight="1" x14ac:dyDescent="0.2">
      <c r="A144" s="269" t="str">
        <f>'問10-2M（表）'!A144</f>
        <v>会社・団体役員(n = 171 )　　</v>
      </c>
      <c r="B144" s="34">
        <f>'問9S（表）'!B74</f>
        <v>171</v>
      </c>
      <c r="C144" s="31">
        <v>50</v>
      </c>
      <c r="D144" s="32">
        <v>17</v>
      </c>
      <c r="E144" s="32">
        <v>11</v>
      </c>
      <c r="F144" s="32">
        <v>20</v>
      </c>
      <c r="G144" s="32">
        <v>20</v>
      </c>
      <c r="H144" s="32">
        <v>24</v>
      </c>
      <c r="I144" s="32">
        <v>10</v>
      </c>
      <c r="J144" s="32">
        <v>37</v>
      </c>
      <c r="K144" s="32">
        <v>13</v>
      </c>
      <c r="L144" s="32">
        <v>9</v>
      </c>
      <c r="M144" s="32">
        <v>2</v>
      </c>
      <c r="N144" s="32">
        <v>36</v>
      </c>
      <c r="O144" s="32">
        <v>14</v>
      </c>
      <c r="P144" s="32">
        <v>53</v>
      </c>
      <c r="Q144" s="32">
        <v>55</v>
      </c>
      <c r="R144" s="32">
        <v>18</v>
      </c>
      <c r="S144" s="32">
        <v>24</v>
      </c>
      <c r="T144" s="32">
        <v>14</v>
      </c>
      <c r="U144" s="32">
        <v>31</v>
      </c>
      <c r="V144" s="32">
        <v>22</v>
      </c>
      <c r="W144" s="32">
        <v>15</v>
      </c>
      <c r="X144" s="32">
        <v>17</v>
      </c>
      <c r="Y144" s="32">
        <v>7</v>
      </c>
      <c r="Z144" s="32">
        <v>6</v>
      </c>
      <c r="AA144" s="32">
        <v>2</v>
      </c>
      <c r="AB144" s="32">
        <v>23</v>
      </c>
      <c r="AC144" s="32">
        <v>17</v>
      </c>
      <c r="AD144" s="32">
        <v>7</v>
      </c>
      <c r="AE144" s="32">
        <v>28</v>
      </c>
      <c r="AF144" s="32">
        <v>9</v>
      </c>
      <c r="AG144" s="32">
        <v>30</v>
      </c>
      <c r="AH144" s="32">
        <v>5</v>
      </c>
      <c r="AI144" s="32">
        <v>9</v>
      </c>
      <c r="AJ144" s="32">
        <v>12</v>
      </c>
      <c r="AK144" s="32">
        <v>37</v>
      </c>
      <c r="AL144" s="32">
        <v>21</v>
      </c>
      <c r="AM144" s="33"/>
      <c r="AN144" s="5">
        <f>SUM(C144:AM144)</f>
        <v>725</v>
      </c>
      <c r="AO144" t="str">
        <f>" 会社・団体役員（ n = "&amp;B144&amp;"）"</f>
        <v xml:space="preserve"> 会社・団体役員（ n = 171）</v>
      </c>
      <c r="AQ144">
        <v>3</v>
      </c>
    </row>
    <row r="145" spans="1:43" x14ac:dyDescent="0.2">
      <c r="A145" s="270"/>
      <c r="B145" s="35">
        <f>'問9S（表）'!B75</f>
        <v>10.581683168316831</v>
      </c>
      <c r="C145" s="20">
        <f t="shared" ref="C145:AL145" si="85">C144/$B$144*100</f>
        <v>29.239766081871345</v>
      </c>
      <c r="D145" s="207">
        <f t="shared" si="85"/>
        <v>9.9415204678362574</v>
      </c>
      <c r="E145" s="207">
        <f t="shared" si="85"/>
        <v>6.4327485380116958</v>
      </c>
      <c r="F145" s="207">
        <f t="shared" si="85"/>
        <v>11.695906432748536</v>
      </c>
      <c r="G145" s="207">
        <f t="shared" si="85"/>
        <v>11.695906432748536</v>
      </c>
      <c r="H145" s="207">
        <f t="shared" si="85"/>
        <v>14.035087719298245</v>
      </c>
      <c r="I145" s="207">
        <f t="shared" si="85"/>
        <v>5.8479532163742682</v>
      </c>
      <c r="J145" s="207">
        <f t="shared" si="85"/>
        <v>21.637426900584796</v>
      </c>
      <c r="K145" s="207">
        <f t="shared" si="85"/>
        <v>7.6023391812865491</v>
      </c>
      <c r="L145" s="207">
        <f t="shared" si="85"/>
        <v>5.2631578947368416</v>
      </c>
      <c r="M145" s="207">
        <f t="shared" si="85"/>
        <v>1.1695906432748537</v>
      </c>
      <c r="N145" s="207">
        <f t="shared" si="85"/>
        <v>21.052631578947366</v>
      </c>
      <c r="O145" s="207">
        <f t="shared" si="85"/>
        <v>8.1871345029239766</v>
      </c>
      <c r="P145" s="207">
        <f t="shared" si="85"/>
        <v>30.994152046783626</v>
      </c>
      <c r="Q145" s="207">
        <f t="shared" si="85"/>
        <v>32.163742690058477</v>
      </c>
      <c r="R145" s="207">
        <f t="shared" si="85"/>
        <v>10.526315789473683</v>
      </c>
      <c r="S145" s="207">
        <f t="shared" si="85"/>
        <v>14.035087719298245</v>
      </c>
      <c r="T145" s="207">
        <f t="shared" si="85"/>
        <v>8.1871345029239766</v>
      </c>
      <c r="U145" s="207">
        <f t="shared" si="85"/>
        <v>18.128654970760234</v>
      </c>
      <c r="V145" s="207">
        <f t="shared" si="85"/>
        <v>12.865497076023392</v>
      </c>
      <c r="W145" s="207">
        <f t="shared" si="85"/>
        <v>8.7719298245614024</v>
      </c>
      <c r="X145" s="207">
        <f t="shared" si="85"/>
        <v>9.9415204678362574</v>
      </c>
      <c r="Y145" s="207">
        <f t="shared" si="85"/>
        <v>4.0935672514619883</v>
      </c>
      <c r="Z145" s="207">
        <f t="shared" si="85"/>
        <v>3.5087719298245612</v>
      </c>
      <c r="AA145" s="207">
        <f t="shared" si="85"/>
        <v>1.1695906432748537</v>
      </c>
      <c r="AB145" s="207">
        <f t="shared" si="85"/>
        <v>13.450292397660817</v>
      </c>
      <c r="AC145" s="207">
        <f t="shared" si="85"/>
        <v>9.9415204678362574</v>
      </c>
      <c r="AD145" s="207">
        <f t="shared" si="85"/>
        <v>4.0935672514619883</v>
      </c>
      <c r="AE145" s="207">
        <f t="shared" si="85"/>
        <v>16.374269005847953</v>
      </c>
      <c r="AF145" s="207">
        <f t="shared" si="85"/>
        <v>5.2631578947368416</v>
      </c>
      <c r="AG145" s="207">
        <f t="shared" si="85"/>
        <v>17.543859649122805</v>
      </c>
      <c r="AH145" s="207">
        <f t="shared" si="85"/>
        <v>2.9239766081871341</v>
      </c>
      <c r="AI145" s="207">
        <f t="shared" si="85"/>
        <v>5.2631578947368416</v>
      </c>
      <c r="AJ145" s="207">
        <f t="shared" si="85"/>
        <v>7.0175438596491224</v>
      </c>
      <c r="AK145" s="207">
        <f t="shared" si="85"/>
        <v>21.637426900584796</v>
      </c>
      <c r="AL145" s="207">
        <f t="shared" si="85"/>
        <v>12.280701754385964</v>
      </c>
      <c r="AM145" s="208"/>
      <c r="AN145" s="195"/>
    </row>
    <row r="146" spans="1:43" ht="13.5" customHeight="1" x14ac:dyDescent="0.2">
      <c r="A146" s="271" t="str">
        <f>'問10-2M（表）'!A146</f>
        <v>正規の従業員・職員(n = 423 )　　</v>
      </c>
      <c r="B146" s="34">
        <f>'問9S（表）'!B76</f>
        <v>423</v>
      </c>
      <c r="C146" s="31">
        <v>118</v>
      </c>
      <c r="D146" s="32">
        <v>34</v>
      </c>
      <c r="E146" s="32">
        <v>19</v>
      </c>
      <c r="F146" s="32">
        <v>34</v>
      </c>
      <c r="G146" s="32">
        <v>46</v>
      </c>
      <c r="H146" s="32">
        <v>49</v>
      </c>
      <c r="I146" s="32">
        <v>26</v>
      </c>
      <c r="J146" s="32">
        <v>104</v>
      </c>
      <c r="K146" s="32">
        <v>20</v>
      </c>
      <c r="L146" s="32">
        <v>14</v>
      </c>
      <c r="M146" s="32">
        <v>3</v>
      </c>
      <c r="N146" s="32">
        <v>125</v>
      </c>
      <c r="O146" s="32">
        <v>32</v>
      </c>
      <c r="P146" s="32">
        <v>116</v>
      </c>
      <c r="Q146" s="32">
        <v>138</v>
      </c>
      <c r="R146" s="32">
        <v>60</v>
      </c>
      <c r="S146" s="32">
        <v>53</v>
      </c>
      <c r="T146" s="32">
        <v>22</v>
      </c>
      <c r="U146" s="32">
        <v>49</v>
      </c>
      <c r="V146" s="32">
        <v>50</v>
      </c>
      <c r="W146" s="32">
        <v>68</v>
      </c>
      <c r="X146" s="32">
        <v>29</v>
      </c>
      <c r="Y146" s="32">
        <v>34</v>
      </c>
      <c r="Z146" s="32">
        <v>16</v>
      </c>
      <c r="AA146" s="32">
        <v>12</v>
      </c>
      <c r="AB146" s="32">
        <v>55</v>
      </c>
      <c r="AC146" s="32">
        <v>33</v>
      </c>
      <c r="AD146" s="32">
        <v>18</v>
      </c>
      <c r="AE146" s="32">
        <v>85</v>
      </c>
      <c r="AF146" s="32">
        <v>23</v>
      </c>
      <c r="AG146" s="32">
        <v>58</v>
      </c>
      <c r="AH146" s="32">
        <v>8</v>
      </c>
      <c r="AI146" s="32">
        <v>14</v>
      </c>
      <c r="AJ146" s="32">
        <v>18</v>
      </c>
      <c r="AK146" s="32">
        <v>89</v>
      </c>
      <c r="AL146" s="32">
        <v>37</v>
      </c>
      <c r="AM146" s="33"/>
      <c r="AN146" s="5">
        <f>SUM(C146:AM146)</f>
        <v>1709</v>
      </c>
      <c r="AO146" t="str">
        <f>" 正規の従業員・職員（ n = "&amp;B146&amp;"）"</f>
        <v xml:space="preserve"> 正規の従業員・職員（ n = 423）</v>
      </c>
      <c r="AQ146">
        <v>4</v>
      </c>
    </row>
    <row r="147" spans="1:43" x14ac:dyDescent="0.2">
      <c r="A147" s="272"/>
      <c r="B147" s="35">
        <f>'問9S（表）'!B77</f>
        <v>26.175742574257427</v>
      </c>
      <c r="C147" s="20">
        <f t="shared" ref="C147:AL147" si="86">C146/$B$146*100</f>
        <v>27.895981087470449</v>
      </c>
      <c r="D147" s="207">
        <f t="shared" si="86"/>
        <v>8.0378250591016549</v>
      </c>
      <c r="E147" s="207">
        <f t="shared" si="86"/>
        <v>4.4917257683215128</v>
      </c>
      <c r="F147" s="207">
        <f t="shared" si="86"/>
        <v>8.0378250591016549</v>
      </c>
      <c r="G147" s="207">
        <f t="shared" si="86"/>
        <v>10.874704491725769</v>
      </c>
      <c r="H147" s="207">
        <f t="shared" si="86"/>
        <v>11.583924349881796</v>
      </c>
      <c r="I147" s="207">
        <f t="shared" si="86"/>
        <v>6.1465721040189125</v>
      </c>
      <c r="J147" s="207">
        <f t="shared" si="86"/>
        <v>24.58628841607565</v>
      </c>
      <c r="K147" s="207">
        <f t="shared" si="86"/>
        <v>4.7281323877068555</v>
      </c>
      <c r="L147" s="207">
        <f t="shared" si="86"/>
        <v>3.3096926713947989</v>
      </c>
      <c r="M147" s="207">
        <f t="shared" si="86"/>
        <v>0.70921985815602839</v>
      </c>
      <c r="N147" s="207">
        <f t="shared" si="86"/>
        <v>29.550827423167846</v>
      </c>
      <c r="O147" s="207">
        <f t="shared" si="86"/>
        <v>7.5650118203309695</v>
      </c>
      <c r="P147" s="207">
        <f t="shared" si="86"/>
        <v>27.423167848699766</v>
      </c>
      <c r="Q147" s="207">
        <f t="shared" si="86"/>
        <v>32.62411347517731</v>
      </c>
      <c r="R147" s="207">
        <f t="shared" si="86"/>
        <v>14.184397163120568</v>
      </c>
      <c r="S147" s="207">
        <f t="shared" si="86"/>
        <v>12.529550827423167</v>
      </c>
      <c r="T147" s="207">
        <f t="shared" si="86"/>
        <v>5.2009456264775409</v>
      </c>
      <c r="U147" s="207">
        <f t="shared" si="86"/>
        <v>11.583924349881796</v>
      </c>
      <c r="V147" s="207">
        <f t="shared" si="86"/>
        <v>11.82033096926714</v>
      </c>
      <c r="W147" s="207">
        <f t="shared" si="86"/>
        <v>16.07565011820331</v>
      </c>
      <c r="X147" s="207">
        <f t="shared" si="86"/>
        <v>6.8557919621749415</v>
      </c>
      <c r="Y147" s="207">
        <f t="shared" si="86"/>
        <v>8.0378250591016549</v>
      </c>
      <c r="Z147" s="207">
        <f t="shared" si="86"/>
        <v>3.7825059101654848</v>
      </c>
      <c r="AA147" s="207">
        <f t="shared" si="86"/>
        <v>2.8368794326241136</v>
      </c>
      <c r="AB147" s="207">
        <f t="shared" si="86"/>
        <v>13.002364066193852</v>
      </c>
      <c r="AC147" s="207">
        <f t="shared" si="86"/>
        <v>7.8014184397163122</v>
      </c>
      <c r="AD147" s="207">
        <f t="shared" si="86"/>
        <v>4.2553191489361701</v>
      </c>
      <c r="AE147" s="207">
        <f t="shared" si="86"/>
        <v>20.094562647754138</v>
      </c>
      <c r="AF147" s="207">
        <f t="shared" si="86"/>
        <v>5.4373522458628845</v>
      </c>
      <c r="AG147" s="207">
        <f t="shared" si="86"/>
        <v>13.711583924349883</v>
      </c>
      <c r="AH147" s="207">
        <f t="shared" si="86"/>
        <v>1.8912529550827424</v>
      </c>
      <c r="AI147" s="207">
        <f t="shared" si="86"/>
        <v>3.3096926713947989</v>
      </c>
      <c r="AJ147" s="207">
        <f t="shared" si="86"/>
        <v>4.2553191489361701</v>
      </c>
      <c r="AK147" s="207">
        <f t="shared" si="86"/>
        <v>21.040189125295509</v>
      </c>
      <c r="AL147" s="207">
        <f t="shared" si="86"/>
        <v>8.7470449172576838</v>
      </c>
      <c r="AM147" s="208"/>
      <c r="AN147" s="195"/>
    </row>
    <row r="148" spans="1:43" ht="13.5" customHeight="1" x14ac:dyDescent="0.2">
      <c r="A148" s="265" t="str">
        <f>'問10-2M（表）'!A148</f>
        <v>パートタイム・アルバイト・派遣(n = 346 )　　</v>
      </c>
      <c r="B148" s="34">
        <f>'問9S（表）'!B78</f>
        <v>346</v>
      </c>
      <c r="C148" s="31">
        <v>108</v>
      </c>
      <c r="D148" s="32">
        <v>41</v>
      </c>
      <c r="E148" s="32">
        <v>14</v>
      </c>
      <c r="F148" s="32">
        <v>36</v>
      </c>
      <c r="G148" s="32">
        <v>60</v>
      </c>
      <c r="H148" s="32">
        <v>38</v>
      </c>
      <c r="I148" s="32">
        <v>16</v>
      </c>
      <c r="J148" s="32">
        <v>99</v>
      </c>
      <c r="K148" s="32">
        <v>15</v>
      </c>
      <c r="L148" s="32">
        <v>11</v>
      </c>
      <c r="M148" s="32">
        <v>1</v>
      </c>
      <c r="N148" s="32">
        <v>119</v>
      </c>
      <c r="O148" s="32">
        <v>40</v>
      </c>
      <c r="P148" s="32">
        <v>77</v>
      </c>
      <c r="Q148" s="32">
        <v>107</v>
      </c>
      <c r="R148" s="32">
        <v>35</v>
      </c>
      <c r="S148" s="32">
        <v>28</v>
      </c>
      <c r="T148" s="32">
        <v>11</v>
      </c>
      <c r="U148" s="32">
        <v>21</v>
      </c>
      <c r="V148" s="32">
        <v>70</v>
      </c>
      <c r="W148" s="32">
        <v>55</v>
      </c>
      <c r="X148" s="32">
        <v>25</v>
      </c>
      <c r="Y148" s="32">
        <v>37</v>
      </c>
      <c r="Z148" s="32">
        <v>25</v>
      </c>
      <c r="AA148" s="32">
        <v>6</v>
      </c>
      <c r="AB148" s="32">
        <v>44</v>
      </c>
      <c r="AC148" s="32">
        <v>22</v>
      </c>
      <c r="AD148" s="32">
        <v>14</v>
      </c>
      <c r="AE148" s="32">
        <v>71</v>
      </c>
      <c r="AF148" s="32">
        <v>20</v>
      </c>
      <c r="AG148" s="32">
        <v>55</v>
      </c>
      <c r="AH148" s="32">
        <v>14</v>
      </c>
      <c r="AI148" s="32">
        <v>13</v>
      </c>
      <c r="AJ148" s="32">
        <v>12</v>
      </c>
      <c r="AK148" s="32">
        <v>64</v>
      </c>
      <c r="AL148" s="32">
        <v>24</v>
      </c>
      <c r="AM148" s="33"/>
      <c r="AN148" s="5">
        <f>SUM(C148:AM148)</f>
        <v>1448</v>
      </c>
      <c r="AO148" t="str">
        <f>" パートタイム・アルバイト・派遣（ n = "&amp;B148&amp;"）"</f>
        <v xml:space="preserve"> パートタイム・アルバイト・派遣（ n = 346）</v>
      </c>
      <c r="AQ148">
        <v>5</v>
      </c>
    </row>
    <row r="149" spans="1:43" x14ac:dyDescent="0.2">
      <c r="A149" s="266"/>
      <c r="B149" s="35">
        <f>'問9S（表）'!B79</f>
        <v>21.410891089108912</v>
      </c>
      <c r="C149" s="20">
        <f t="shared" ref="C149:AL149" si="87">C148/$B$148*100</f>
        <v>31.213872832369944</v>
      </c>
      <c r="D149" s="207">
        <f t="shared" si="87"/>
        <v>11.849710982658959</v>
      </c>
      <c r="E149" s="207">
        <f t="shared" si="87"/>
        <v>4.0462427745664744</v>
      </c>
      <c r="F149" s="207">
        <f t="shared" si="87"/>
        <v>10.404624277456648</v>
      </c>
      <c r="G149" s="207">
        <f t="shared" si="87"/>
        <v>17.341040462427745</v>
      </c>
      <c r="H149" s="207">
        <f t="shared" si="87"/>
        <v>10.982658959537572</v>
      </c>
      <c r="I149" s="207">
        <f t="shared" si="87"/>
        <v>4.6242774566473983</v>
      </c>
      <c r="J149" s="207">
        <f t="shared" si="87"/>
        <v>28.612716763005778</v>
      </c>
      <c r="K149" s="207">
        <f t="shared" si="87"/>
        <v>4.3352601156069364</v>
      </c>
      <c r="L149" s="207">
        <f t="shared" si="87"/>
        <v>3.1791907514450863</v>
      </c>
      <c r="M149" s="207">
        <f t="shared" si="87"/>
        <v>0.28901734104046239</v>
      </c>
      <c r="N149" s="207">
        <f t="shared" si="87"/>
        <v>34.393063583815028</v>
      </c>
      <c r="O149" s="207">
        <f t="shared" si="87"/>
        <v>11.560693641618498</v>
      </c>
      <c r="P149" s="207">
        <f t="shared" si="87"/>
        <v>22.254335260115607</v>
      </c>
      <c r="Q149" s="207">
        <f t="shared" si="87"/>
        <v>30.924855491329478</v>
      </c>
      <c r="R149" s="207">
        <f t="shared" si="87"/>
        <v>10.115606936416185</v>
      </c>
      <c r="S149" s="207">
        <f t="shared" si="87"/>
        <v>8.0924855491329488</v>
      </c>
      <c r="T149" s="207">
        <f t="shared" si="87"/>
        <v>3.1791907514450863</v>
      </c>
      <c r="U149" s="207">
        <f t="shared" si="87"/>
        <v>6.0693641618497107</v>
      </c>
      <c r="V149" s="207">
        <f t="shared" si="87"/>
        <v>20.23121387283237</v>
      </c>
      <c r="W149" s="207">
        <f t="shared" si="87"/>
        <v>15.895953757225435</v>
      </c>
      <c r="X149" s="207">
        <f t="shared" si="87"/>
        <v>7.2254335260115612</v>
      </c>
      <c r="Y149" s="207">
        <f t="shared" si="87"/>
        <v>10.693641618497111</v>
      </c>
      <c r="Z149" s="207">
        <f t="shared" si="87"/>
        <v>7.2254335260115612</v>
      </c>
      <c r="AA149" s="207">
        <f t="shared" si="87"/>
        <v>1.7341040462427744</v>
      </c>
      <c r="AB149" s="207">
        <f t="shared" si="87"/>
        <v>12.716763005780345</v>
      </c>
      <c r="AC149" s="207">
        <f t="shared" si="87"/>
        <v>6.3583815028901727</v>
      </c>
      <c r="AD149" s="207">
        <f t="shared" si="87"/>
        <v>4.0462427745664744</v>
      </c>
      <c r="AE149" s="207">
        <f t="shared" si="87"/>
        <v>20.520231213872833</v>
      </c>
      <c r="AF149" s="207">
        <f t="shared" si="87"/>
        <v>5.7803468208092488</v>
      </c>
      <c r="AG149" s="207">
        <f t="shared" si="87"/>
        <v>15.895953757225435</v>
      </c>
      <c r="AH149" s="207">
        <f t="shared" si="87"/>
        <v>4.0462427745664744</v>
      </c>
      <c r="AI149" s="207">
        <f t="shared" si="87"/>
        <v>3.7572254335260116</v>
      </c>
      <c r="AJ149" s="207">
        <f t="shared" si="87"/>
        <v>3.4682080924855487</v>
      </c>
      <c r="AK149" s="207">
        <f t="shared" si="87"/>
        <v>18.497109826589593</v>
      </c>
      <c r="AL149" s="207">
        <f t="shared" si="87"/>
        <v>6.9364161849710975</v>
      </c>
      <c r="AM149" s="208"/>
      <c r="AN149" s="237"/>
    </row>
    <row r="150" spans="1:43" ht="13.5" customHeight="1" x14ac:dyDescent="0.2">
      <c r="A150" s="269" t="str">
        <f>'問10-2M（表）'!A150</f>
        <v>学生(n = 44 )　　</v>
      </c>
      <c r="B150" s="34">
        <f>'問9S（表）'!B80</f>
        <v>44</v>
      </c>
      <c r="C150" s="31">
        <v>5</v>
      </c>
      <c r="D150" s="32">
        <v>2</v>
      </c>
      <c r="E150" s="32">
        <v>2</v>
      </c>
      <c r="F150" s="32">
        <v>2</v>
      </c>
      <c r="G150" s="32">
        <v>2</v>
      </c>
      <c r="H150" s="32">
        <v>3</v>
      </c>
      <c r="I150" s="32">
        <v>0</v>
      </c>
      <c r="J150" s="32">
        <v>4</v>
      </c>
      <c r="K150" s="32">
        <v>3</v>
      </c>
      <c r="L150" s="32">
        <v>2</v>
      </c>
      <c r="M150" s="32">
        <v>1</v>
      </c>
      <c r="N150" s="32">
        <v>6</v>
      </c>
      <c r="O150" s="32">
        <v>4</v>
      </c>
      <c r="P150" s="32">
        <v>12</v>
      </c>
      <c r="Q150" s="32">
        <v>15</v>
      </c>
      <c r="R150" s="32">
        <v>2</v>
      </c>
      <c r="S150" s="32">
        <v>1</v>
      </c>
      <c r="T150" s="32">
        <v>3</v>
      </c>
      <c r="U150" s="32">
        <v>6</v>
      </c>
      <c r="V150" s="32">
        <v>9</v>
      </c>
      <c r="W150" s="32">
        <v>8</v>
      </c>
      <c r="X150" s="32">
        <v>2</v>
      </c>
      <c r="Y150" s="32">
        <v>9</v>
      </c>
      <c r="Z150" s="32">
        <v>1</v>
      </c>
      <c r="AA150" s="32">
        <v>1</v>
      </c>
      <c r="AB150" s="32">
        <v>4</v>
      </c>
      <c r="AC150" s="32">
        <v>4</v>
      </c>
      <c r="AD150" s="32">
        <v>2</v>
      </c>
      <c r="AE150" s="32">
        <v>9</v>
      </c>
      <c r="AF150" s="32">
        <v>2</v>
      </c>
      <c r="AG150" s="32">
        <v>6</v>
      </c>
      <c r="AH150" s="32">
        <v>4</v>
      </c>
      <c r="AI150" s="32">
        <v>1</v>
      </c>
      <c r="AJ150" s="32">
        <v>3</v>
      </c>
      <c r="AK150" s="32">
        <v>13</v>
      </c>
      <c r="AL150" s="32">
        <v>2</v>
      </c>
      <c r="AM150" s="33"/>
      <c r="AN150" s="5">
        <f>SUM(C150:AM150)</f>
        <v>155</v>
      </c>
      <c r="AO150" t="str">
        <f>" 学生（ n = "&amp;B150&amp;"）"</f>
        <v xml:space="preserve"> 学生（ n = 44）</v>
      </c>
      <c r="AQ150">
        <v>6</v>
      </c>
    </row>
    <row r="151" spans="1:43" x14ac:dyDescent="0.2">
      <c r="A151" s="270"/>
      <c r="B151" s="35">
        <f>'問9S（表）'!B81</f>
        <v>2.722772277227723</v>
      </c>
      <c r="C151" s="20">
        <f t="shared" ref="C151:AL151" si="88">C150/$B$150*100</f>
        <v>11.363636363636363</v>
      </c>
      <c r="D151" s="207">
        <f t="shared" si="88"/>
        <v>4.5454545454545459</v>
      </c>
      <c r="E151" s="207">
        <f t="shared" si="88"/>
        <v>4.5454545454545459</v>
      </c>
      <c r="F151" s="207">
        <f t="shared" si="88"/>
        <v>4.5454545454545459</v>
      </c>
      <c r="G151" s="207">
        <f t="shared" si="88"/>
        <v>4.5454545454545459</v>
      </c>
      <c r="H151" s="207">
        <f t="shared" si="88"/>
        <v>6.8181818181818175</v>
      </c>
      <c r="I151" s="207">
        <f t="shared" si="88"/>
        <v>0</v>
      </c>
      <c r="J151" s="207">
        <f t="shared" si="88"/>
        <v>9.0909090909090917</v>
      </c>
      <c r="K151" s="207">
        <f t="shared" si="88"/>
        <v>6.8181818181818175</v>
      </c>
      <c r="L151" s="207">
        <f t="shared" si="88"/>
        <v>4.5454545454545459</v>
      </c>
      <c r="M151" s="207">
        <f t="shared" si="88"/>
        <v>2.2727272727272729</v>
      </c>
      <c r="N151" s="207">
        <f t="shared" si="88"/>
        <v>13.636363636363635</v>
      </c>
      <c r="O151" s="207">
        <f t="shared" si="88"/>
        <v>9.0909090909090917</v>
      </c>
      <c r="P151" s="207">
        <f t="shared" si="88"/>
        <v>27.27272727272727</v>
      </c>
      <c r="Q151" s="207">
        <f t="shared" si="88"/>
        <v>34.090909090909086</v>
      </c>
      <c r="R151" s="207">
        <f t="shared" si="88"/>
        <v>4.5454545454545459</v>
      </c>
      <c r="S151" s="207">
        <f t="shared" si="88"/>
        <v>2.2727272727272729</v>
      </c>
      <c r="T151" s="207">
        <f t="shared" si="88"/>
        <v>6.8181818181818175</v>
      </c>
      <c r="U151" s="207">
        <f t="shared" si="88"/>
        <v>13.636363636363635</v>
      </c>
      <c r="V151" s="207">
        <f t="shared" si="88"/>
        <v>20.454545454545457</v>
      </c>
      <c r="W151" s="207">
        <f t="shared" si="88"/>
        <v>18.181818181818183</v>
      </c>
      <c r="X151" s="207">
        <f t="shared" si="88"/>
        <v>4.5454545454545459</v>
      </c>
      <c r="Y151" s="207">
        <f t="shared" si="88"/>
        <v>20.454545454545457</v>
      </c>
      <c r="Z151" s="207">
        <f t="shared" si="88"/>
        <v>2.2727272727272729</v>
      </c>
      <c r="AA151" s="207">
        <f t="shared" si="88"/>
        <v>2.2727272727272729</v>
      </c>
      <c r="AB151" s="207">
        <f t="shared" si="88"/>
        <v>9.0909090909090917</v>
      </c>
      <c r="AC151" s="207">
        <f t="shared" si="88"/>
        <v>9.0909090909090917</v>
      </c>
      <c r="AD151" s="207">
        <f t="shared" si="88"/>
        <v>4.5454545454545459</v>
      </c>
      <c r="AE151" s="207">
        <f t="shared" si="88"/>
        <v>20.454545454545457</v>
      </c>
      <c r="AF151" s="207">
        <f t="shared" si="88"/>
        <v>4.5454545454545459</v>
      </c>
      <c r="AG151" s="207">
        <f t="shared" si="88"/>
        <v>13.636363636363635</v>
      </c>
      <c r="AH151" s="207">
        <f t="shared" si="88"/>
        <v>9.0909090909090917</v>
      </c>
      <c r="AI151" s="207">
        <f t="shared" si="88"/>
        <v>2.2727272727272729</v>
      </c>
      <c r="AJ151" s="207">
        <f t="shared" si="88"/>
        <v>6.8181818181818175</v>
      </c>
      <c r="AK151" s="207">
        <f t="shared" si="88"/>
        <v>29.545454545454547</v>
      </c>
      <c r="AL151" s="207">
        <f t="shared" si="88"/>
        <v>4.5454545454545459</v>
      </c>
      <c r="AM151" s="208"/>
      <c r="AN151" s="195"/>
    </row>
    <row r="152" spans="1:43" ht="13.5" customHeight="1" x14ac:dyDescent="0.2">
      <c r="A152" s="269" t="str">
        <f>'問10-2M（表）'!A152</f>
        <v>家事従事(n = 150 )　　</v>
      </c>
      <c r="B152" s="34">
        <f>'問9S（表）'!B82</f>
        <v>150</v>
      </c>
      <c r="C152" s="31">
        <v>59</v>
      </c>
      <c r="D152" s="32">
        <v>20</v>
      </c>
      <c r="E152" s="32">
        <v>8</v>
      </c>
      <c r="F152" s="32">
        <v>14</v>
      </c>
      <c r="G152" s="32">
        <v>17</v>
      </c>
      <c r="H152" s="32">
        <v>17</v>
      </c>
      <c r="I152" s="32">
        <v>6</v>
      </c>
      <c r="J152" s="32">
        <v>36</v>
      </c>
      <c r="K152" s="32">
        <v>10</v>
      </c>
      <c r="L152" s="32">
        <v>3</v>
      </c>
      <c r="M152" s="32">
        <v>1</v>
      </c>
      <c r="N152" s="32">
        <v>52</v>
      </c>
      <c r="O152" s="32">
        <v>17</v>
      </c>
      <c r="P152" s="32">
        <v>33</v>
      </c>
      <c r="Q152" s="32">
        <v>38</v>
      </c>
      <c r="R152" s="32">
        <v>7</v>
      </c>
      <c r="S152" s="32">
        <v>8</v>
      </c>
      <c r="T152" s="32">
        <v>5</v>
      </c>
      <c r="U152" s="32">
        <v>6</v>
      </c>
      <c r="V152" s="32">
        <v>17</v>
      </c>
      <c r="W152" s="32">
        <v>13</v>
      </c>
      <c r="X152" s="32">
        <v>16</v>
      </c>
      <c r="Y152" s="32">
        <v>14</v>
      </c>
      <c r="Z152" s="32">
        <v>11</v>
      </c>
      <c r="AA152" s="32">
        <v>5</v>
      </c>
      <c r="AB152" s="32">
        <v>18</v>
      </c>
      <c r="AC152" s="32">
        <v>11</v>
      </c>
      <c r="AD152" s="32">
        <v>8</v>
      </c>
      <c r="AE152" s="32">
        <v>24</v>
      </c>
      <c r="AF152" s="32">
        <v>11</v>
      </c>
      <c r="AG152" s="32">
        <v>28</v>
      </c>
      <c r="AH152" s="32">
        <v>10</v>
      </c>
      <c r="AI152" s="32">
        <v>6</v>
      </c>
      <c r="AJ152" s="32">
        <v>3</v>
      </c>
      <c r="AK152" s="32">
        <v>35</v>
      </c>
      <c r="AL152" s="32">
        <v>7</v>
      </c>
      <c r="AM152" s="33"/>
      <c r="AN152" s="5">
        <f>SUM(C152:AM152)</f>
        <v>594</v>
      </c>
      <c r="AO152" t="str">
        <f>" 家事従事（ n = "&amp;B152&amp;"）"</f>
        <v xml:space="preserve"> 家事従事（ n = 150）</v>
      </c>
      <c r="AQ152">
        <v>7</v>
      </c>
    </row>
    <row r="153" spans="1:43" x14ac:dyDescent="0.2">
      <c r="A153" s="270"/>
      <c r="B153" s="35">
        <f>'問9S（表）'!B83</f>
        <v>9.282178217821782</v>
      </c>
      <c r="C153" s="20">
        <f t="shared" ref="C153:AL153" si="89">C152/$B$152*100</f>
        <v>39.333333333333329</v>
      </c>
      <c r="D153" s="207">
        <f t="shared" si="89"/>
        <v>13.333333333333334</v>
      </c>
      <c r="E153" s="207">
        <f t="shared" si="89"/>
        <v>5.3333333333333339</v>
      </c>
      <c r="F153" s="207">
        <f t="shared" si="89"/>
        <v>9.3333333333333339</v>
      </c>
      <c r="G153" s="207">
        <f t="shared" si="89"/>
        <v>11.333333333333332</v>
      </c>
      <c r="H153" s="207">
        <f t="shared" si="89"/>
        <v>11.333333333333332</v>
      </c>
      <c r="I153" s="207">
        <f t="shared" si="89"/>
        <v>4</v>
      </c>
      <c r="J153" s="207">
        <f t="shared" si="89"/>
        <v>24</v>
      </c>
      <c r="K153" s="207">
        <f t="shared" si="89"/>
        <v>6.666666666666667</v>
      </c>
      <c r="L153" s="207">
        <f t="shared" si="89"/>
        <v>2</v>
      </c>
      <c r="M153" s="207">
        <f t="shared" si="89"/>
        <v>0.66666666666666674</v>
      </c>
      <c r="N153" s="207">
        <f t="shared" si="89"/>
        <v>34.666666666666671</v>
      </c>
      <c r="O153" s="207">
        <f t="shared" si="89"/>
        <v>11.333333333333332</v>
      </c>
      <c r="P153" s="207">
        <f t="shared" si="89"/>
        <v>22</v>
      </c>
      <c r="Q153" s="207">
        <f t="shared" si="89"/>
        <v>25.333333333333336</v>
      </c>
      <c r="R153" s="207">
        <f t="shared" si="89"/>
        <v>4.666666666666667</v>
      </c>
      <c r="S153" s="207">
        <f t="shared" si="89"/>
        <v>5.3333333333333339</v>
      </c>
      <c r="T153" s="207">
        <f t="shared" si="89"/>
        <v>3.3333333333333335</v>
      </c>
      <c r="U153" s="207">
        <f t="shared" si="89"/>
        <v>4</v>
      </c>
      <c r="V153" s="207">
        <f t="shared" si="89"/>
        <v>11.333333333333332</v>
      </c>
      <c r="W153" s="207">
        <f t="shared" si="89"/>
        <v>8.6666666666666679</v>
      </c>
      <c r="X153" s="207">
        <f t="shared" si="89"/>
        <v>10.666666666666668</v>
      </c>
      <c r="Y153" s="207">
        <f t="shared" si="89"/>
        <v>9.3333333333333339</v>
      </c>
      <c r="Z153" s="207">
        <f t="shared" si="89"/>
        <v>7.333333333333333</v>
      </c>
      <c r="AA153" s="207">
        <f t="shared" si="89"/>
        <v>3.3333333333333335</v>
      </c>
      <c r="AB153" s="207">
        <f t="shared" si="89"/>
        <v>12</v>
      </c>
      <c r="AC153" s="207">
        <f t="shared" si="89"/>
        <v>7.333333333333333</v>
      </c>
      <c r="AD153" s="207">
        <f t="shared" si="89"/>
        <v>5.3333333333333339</v>
      </c>
      <c r="AE153" s="207">
        <f t="shared" si="89"/>
        <v>16</v>
      </c>
      <c r="AF153" s="207">
        <f t="shared" si="89"/>
        <v>7.333333333333333</v>
      </c>
      <c r="AG153" s="207">
        <f t="shared" si="89"/>
        <v>18.666666666666668</v>
      </c>
      <c r="AH153" s="207">
        <f t="shared" si="89"/>
        <v>6.666666666666667</v>
      </c>
      <c r="AI153" s="207">
        <f t="shared" si="89"/>
        <v>4</v>
      </c>
      <c r="AJ153" s="207">
        <f t="shared" si="89"/>
        <v>2</v>
      </c>
      <c r="AK153" s="207">
        <f t="shared" si="89"/>
        <v>23.333333333333332</v>
      </c>
      <c r="AL153" s="207">
        <f t="shared" si="89"/>
        <v>4.666666666666667</v>
      </c>
      <c r="AM153" s="208"/>
      <c r="AN153" s="195"/>
    </row>
    <row r="154" spans="1:43" ht="13.5" customHeight="1" x14ac:dyDescent="0.2">
      <c r="A154" s="269" t="str">
        <f>'問10-2M（表）'!A154</f>
        <v>無職(n = 263 )　　</v>
      </c>
      <c r="B154" s="34">
        <f>'問9S（表）'!B84</f>
        <v>263</v>
      </c>
      <c r="C154" s="31">
        <v>90</v>
      </c>
      <c r="D154" s="32">
        <v>29</v>
      </c>
      <c r="E154" s="32">
        <v>17</v>
      </c>
      <c r="F154" s="32">
        <v>36</v>
      </c>
      <c r="G154" s="32">
        <v>34</v>
      </c>
      <c r="H154" s="32">
        <v>46</v>
      </c>
      <c r="I154" s="32">
        <v>21</v>
      </c>
      <c r="J154" s="32">
        <v>69</v>
      </c>
      <c r="K154" s="32">
        <v>12</v>
      </c>
      <c r="L154" s="32">
        <v>17</v>
      </c>
      <c r="M154" s="32">
        <v>4</v>
      </c>
      <c r="N154" s="32">
        <v>108</v>
      </c>
      <c r="O154" s="32">
        <v>29</v>
      </c>
      <c r="P154" s="32">
        <v>50</v>
      </c>
      <c r="Q154" s="32">
        <v>36</v>
      </c>
      <c r="R154" s="32">
        <v>15</v>
      </c>
      <c r="S154" s="32">
        <v>23</v>
      </c>
      <c r="T154" s="32">
        <v>12</v>
      </c>
      <c r="U154" s="32">
        <v>23</v>
      </c>
      <c r="V154" s="32">
        <v>28</v>
      </c>
      <c r="W154" s="32">
        <v>11</v>
      </c>
      <c r="X154" s="32">
        <v>22</v>
      </c>
      <c r="Y154" s="32">
        <v>16</v>
      </c>
      <c r="Z154" s="32">
        <v>23</v>
      </c>
      <c r="AA154" s="32">
        <v>15</v>
      </c>
      <c r="AB154" s="32">
        <v>33</v>
      </c>
      <c r="AC154" s="32">
        <v>31</v>
      </c>
      <c r="AD154" s="32">
        <v>23</v>
      </c>
      <c r="AE154" s="32">
        <v>49</v>
      </c>
      <c r="AF154" s="32">
        <v>15</v>
      </c>
      <c r="AG154" s="32">
        <v>31</v>
      </c>
      <c r="AH154" s="32">
        <v>10</v>
      </c>
      <c r="AI154" s="32">
        <v>8</v>
      </c>
      <c r="AJ154" s="32">
        <v>7</v>
      </c>
      <c r="AK154" s="32">
        <v>50</v>
      </c>
      <c r="AL154" s="32">
        <v>24</v>
      </c>
      <c r="AM154" s="33"/>
      <c r="AN154" s="5">
        <f>SUM(C154:AM154)</f>
        <v>1067</v>
      </c>
      <c r="AO154" t="str">
        <f>" 無職（ n = "&amp;B154&amp;"）"</f>
        <v xml:space="preserve"> 無職（ n = 263）</v>
      </c>
      <c r="AQ154">
        <v>8</v>
      </c>
    </row>
    <row r="155" spans="1:43" x14ac:dyDescent="0.2">
      <c r="A155" s="270"/>
      <c r="B155" s="35">
        <f>'問9S（表）'!B85</f>
        <v>16.274752475247524</v>
      </c>
      <c r="C155" s="20">
        <f t="shared" ref="C155:AL155" si="90">C154/$B$154*100</f>
        <v>34.22053231939163</v>
      </c>
      <c r="D155" s="207">
        <f t="shared" si="90"/>
        <v>11.02661596958175</v>
      </c>
      <c r="E155" s="207">
        <f t="shared" si="90"/>
        <v>6.4638783269961975</v>
      </c>
      <c r="F155" s="207">
        <f t="shared" si="90"/>
        <v>13.688212927756654</v>
      </c>
      <c r="G155" s="207">
        <f t="shared" si="90"/>
        <v>12.927756653992395</v>
      </c>
      <c r="H155" s="207">
        <f t="shared" si="90"/>
        <v>17.490494296577946</v>
      </c>
      <c r="I155" s="207">
        <f t="shared" si="90"/>
        <v>7.9847908745247151</v>
      </c>
      <c r="J155" s="207">
        <f t="shared" si="90"/>
        <v>26.235741444866921</v>
      </c>
      <c r="K155" s="207">
        <f t="shared" si="90"/>
        <v>4.5627376425855513</v>
      </c>
      <c r="L155" s="207">
        <f t="shared" si="90"/>
        <v>6.4638783269961975</v>
      </c>
      <c r="M155" s="207">
        <f t="shared" si="90"/>
        <v>1.520912547528517</v>
      </c>
      <c r="N155" s="207">
        <f t="shared" si="90"/>
        <v>41.064638783269963</v>
      </c>
      <c r="O155" s="207">
        <f t="shared" si="90"/>
        <v>11.02661596958175</v>
      </c>
      <c r="P155" s="207">
        <f t="shared" si="90"/>
        <v>19.011406844106464</v>
      </c>
      <c r="Q155" s="207">
        <f t="shared" si="90"/>
        <v>13.688212927756654</v>
      </c>
      <c r="R155" s="207">
        <f t="shared" si="90"/>
        <v>5.7034220532319395</v>
      </c>
      <c r="S155" s="207">
        <f t="shared" si="90"/>
        <v>8.7452471482889731</v>
      </c>
      <c r="T155" s="207">
        <f t="shared" si="90"/>
        <v>4.5627376425855513</v>
      </c>
      <c r="U155" s="207">
        <f t="shared" si="90"/>
        <v>8.7452471482889731</v>
      </c>
      <c r="V155" s="207">
        <f t="shared" si="90"/>
        <v>10.646387832699618</v>
      </c>
      <c r="W155" s="207">
        <f t="shared" si="90"/>
        <v>4.1825095057034218</v>
      </c>
      <c r="X155" s="207">
        <f t="shared" si="90"/>
        <v>8.3650190114068437</v>
      </c>
      <c r="Y155" s="207">
        <f t="shared" si="90"/>
        <v>6.083650190114068</v>
      </c>
      <c r="Z155" s="207">
        <f t="shared" si="90"/>
        <v>8.7452471482889731</v>
      </c>
      <c r="AA155" s="207">
        <f t="shared" si="90"/>
        <v>5.7034220532319395</v>
      </c>
      <c r="AB155" s="207">
        <f t="shared" si="90"/>
        <v>12.547528517110266</v>
      </c>
      <c r="AC155" s="207">
        <f t="shared" si="90"/>
        <v>11.787072243346007</v>
      </c>
      <c r="AD155" s="207">
        <f t="shared" si="90"/>
        <v>8.7452471482889731</v>
      </c>
      <c r="AE155" s="207">
        <f t="shared" si="90"/>
        <v>18.631178707224336</v>
      </c>
      <c r="AF155" s="207">
        <f t="shared" si="90"/>
        <v>5.7034220532319395</v>
      </c>
      <c r="AG155" s="207">
        <f t="shared" si="90"/>
        <v>11.787072243346007</v>
      </c>
      <c r="AH155" s="207">
        <f t="shared" si="90"/>
        <v>3.8022813688212929</v>
      </c>
      <c r="AI155" s="207">
        <f t="shared" si="90"/>
        <v>3.041825095057034</v>
      </c>
      <c r="AJ155" s="207">
        <f t="shared" si="90"/>
        <v>2.6615969581749046</v>
      </c>
      <c r="AK155" s="207">
        <f t="shared" si="90"/>
        <v>19.011406844106464</v>
      </c>
      <c r="AL155" s="207">
        <f t="shared" si="90"/>
        <v>9.1254752851711025</v>
      </c>
      <c r="AM155" s="208"/>
      <c r="AN155" s="195"/>
    </row>
    <row r="156" spans="1:43" x14ac:dyDescent="0.2">
      <c r="A156" s="269" t="str">
        <f>'問10-2M（表）'!A156</f>
        <v>その他(n = 18 )　　</v>
      </c>
      <c r="B156" s="34">
        <f>'問9S（表）'!B86</f>
        <v>18</v>
      </c>
      <c r="C156" s="31">
        <v>13</v>
      </c>
      <c r="D156" s="32">
        <v>1</v>
      </c>
      <c r="E156" s="32">
        <v>0</v>
      </c>
      <c r="F156" s="32">
        <v>2</v>
      </c>
      <c r="G156" s="32">
        <v>2</v>
      </c>
      <c r="H156" s="32">
        <v>4</v>
      </c>
      <c r="I156" s="32">
        <v>1</v>
      </c>
      <c r="J156" s="32">
        <v>4</v>
      </c>
      <c r="K156" s="32">
        <v>3</v>
      </c>
      <c r="L156" s="32">
        <v>0</v>
      </c>
      <c r="M156" s="32">
        <v>0</v>
      </c>
      <c r="N156" s="32">
        <v>3</v>
      </c>
      <c r="O156" s="32">
        <v>3</v>
      </c>
      <c r="P156" s="32">
        <v>2</v>
      </c>
      <c r="Q156" s="32">
        <v>7</v>
      </c>
      <c r="R156" s="32">
        <v>0</v>
      </c>
      <c r="S156" s="32">
        <v>0</v>
      </c>
      <c r="T156" s="32">
        <v>0</v>
      </c>
      <c r="U156" s="32">
        <v>1</v>
      </c>
      <c r="V156" s="32">
        <v>3</v>
      </c>
      <c r="W156" s="32">
        <v>0</v>
      </c>
      <c r="X156" s="32">
        <v>1</v>
      </c>
      <c r="Y156" s="32">
        <v>2</v>
      </c>
      <c r="Z156" s="32">
        <v>0</v>
      </c>
      <c r="AA156" s="32">
        <v>0</v>
      </c>
      <c r="AB156" s="32">
        <v>3</v>
      </c>
      <c r="AC156" s="32">
        <v>3</v>
      </c>
      <c r="AD156" s="32">
        <v>3</v>
      </c>
      <c r="AE156" s="32">
        <v>5</v>
      </c>
      <c r="AF156" s="32">
        <v>0</v>
      </c>
      <c r="AG156" s="32">
        <v>3</v>
      </c>
      <c r="AH156" s="32">
        <v>0</v>
      </c>
      <c r="AI156" s="32">
        <v>1</v>
      </c>
      <c r="AJ156" s="32">
        <v>2</v>
      </c>
      <c r="AK156" s="32">
        <v>2</v>
      </c>
      <c r="AL156" s="32">
        <v>1</v>
      </c>
      <c r="AM156" s="33"/>
      <c r="AN156" s="5">
        <f>SUM(C156:AM156)</f>
        <v>75</v>
      </c>
      <c r="AO156" t="str">
        <f>" その他（ n = "&amp;B156&amp;"）"</f>
        <v xml:space="preserve"> その他（ n = 18）</v>
      </c>
      <c r="AQ156">
        <v>9</v>
      </c>
    </row>
    <row r="157" spans="1:43" x14ac:dyDescent="0.2">
      <c r="A157" s="270"/>
      <c r="B157" s="35">
        <f>'問9S（表）'!B87</f>
        <v>1.1138613861386137</v>
      </c>
      <c r="C157" s="20">
        <f t="shared" ref="C157:AL157" si="91">C156/$B$156*100</f>
        <v>72.222222222222214</v>
      </c>
      <c r="D157" s="207">
        <f t="shared" si="91"/>
        <v>5.5555555555555554</v>
      </c>
      <c r="E157" s="207">
        <f t="shared" si="91"/>
        <v>0</v>
      </c>
      <c r="F157" s="207">
        <f t="shared" si="91"/>
        <v>11.111111111111111</v>
      </c>
      <c r="G157" s="207">
        <f t="shared" si="91"/>
        <v>11.111111111111111</v>
      </c>
      <c r="H157" s="207">
        <f t="shared" si="91"/>
        <v>22.222222222222221</v>
      </c>
      <c r="I157" s="207">
        <f t="shared" si="91"/>
        <v>5.5555555555555554</v>
      </c>
      <c r="J157" s="207">
        <f t="shared" si="91"/>
        <v>22.222222222222221</v>
      </c>
      <c r="K157" s="207">
        <f t="shared" si="91"/>
        <v>16.666666666666664</v>
      </c>
      <c r="L157" s="207">
        <f t="shared" si="91"/>
        <v>0</v>
      </c>
      <c r="M157" s="207">
        <f t="shared" si="91"/>
        <v>0</v>
      </c>
      <c r="N157" s="207">
        <f t="shared" si="91"/>
        <v>16.666666666666664</v>
      </c>
      <c r="O157" s="207">
        <f t="shared" si="91"/>
        <v>16.666666666666664</v>
      </c>
      <c r="P157" s="207">
        <f t="shared" si="91"/>
        <v>11.111111111111111</v>
      </c>
      <c r="Q157" s="207">
        <f t="shared" si="91"/>
        <v>38.888888888888893</v>
      </c>
      <c r="R157" s="207">
        <f t="shared" si="91"/>
        <v>0</v>
      </c>
      <c r="S157" s="207">
        <f t="shared" si="91"/>
        <v>0</v>
      </c>
      <c r="T157" s="207">
        <f t="shared" si="91"/>
        <v>0</v>
      </c>
      <c r="U157" s="207">
        <f t="shared" si="91"/>
        <v>5.5555555555555554</v>
      </c>
      <c r="V157" s="207">
        <f t="shared" si="91"/>
        <v>16.666666666666664</v>
      </c>
      <c r="W157" s="207">
        <f t="shared" si="91"/>
        <v>0</v>
      </c>
      <c r="X157" s="207">
        <f t="shared" si="91"/>
        <v>5.5555555555555554</v>
      </c>
      <c r="Y157" s="207">
        <f t="shared" si="91"/>
        <v>11.111111111111111</v>
      </c>
      <c r="Z157" s="207">
        <f t="shared" si="91"/>
        <v>0</v>
      </c>
      <c r="AA157" s="207">
        <f t="shared" si="91"/>
        <v>0</v>
      </c>
      <c r="AB157" s="207">
        <f t="shared" si="91"/>
        <v>16.666666666666664</v>
      </c>
      <c r="AC157" s="207">
        <f t="shared" si="91"/>
        <v>16.666666666666664</v>
      </c>
      <c r="AD157" s="207">
        <f t="shared" si="91"/>
        <v>16.666666666666664</v>
      </c>
      <c r="AE157" s="207">
        <f t="shared" si="91"/>
        <v>27.777777777777779</v>
      </c>
      <c r="AF157" s="207">
        <f t="shared" si="91"/>
        <v>0</v>
      </c>
      <c r="AG157" s="207">
        <f t="shared" si="91"/>
        <v>16.666666666666664</v>
      </c>
      <c r="AH157" s="207">
        <f t="shared" si="91"/>
        <v>0</v>
      </c>
      <c r="AI157" s="207">
        <f t="shared" si="91"/>
        <v>5.5555555555555554</v>
      </c>
      <c r="AJ157" s="207">
        <f t="shared" si="91"/>
        <v>11.111111111111111</v>
      </c>
      <c r="AK157" s="207">
        <f t="shared" si="91"/>
        <v>11.111111111111111</v>
      </c>
      <c r="AL157" s="207">
        <f t="shared" si="91"/>
        <v>5.5555555555555554</v>
      </c>
      <c r="AM157" s="208"/>
      <c r="AN157" s="195"/>
      <c r="AO157" t="str">
        <f>" その他（ n = "&amp;B156+B142+B150&amp;"）"</f>
        <v xml:space="preserve"> その他（ n = 74）</v>
      </c>
    </row>
    <row r="158" spans="1:43" s="253" customFormat="1" x14ac:dyDescent="0.2">
      <c r="A158" s="254"/>
      <c r="B158" s="182"/>
      <c r="C158" s="182">
        <f t="shared" ref="C158:AL158" si="92">_xlfn.RANK.EQ(C139,$C$139:$AL$139,0)</f>
        <v>1</v>
      </c>
      <c r="D158" s="182">
        <f t="shared" si="92"/>
        <v>16</v>
      </c>
      <c r="E158" s="182">
        <f t="shared" si="92"/>
        <v>27</v>
      </c>
      <c r="F158" s="182">
        <f t="shared" si="92"/>
        <v>15</v>
      </c>
      <c r="G158" s="182">
        <f t="shared" si="92"/>
        <v>11</v>
      </c>
      <c r="H158" s="182">
        <f t="shared" si="92"/>
        <v>10</v>
      </c>
      <c r="I158" s="182">
        <f t="shared" si="92"/>
        <v>26</v>
      </c>
      <c r="J158" s="182">
        <f t="shared" si="92"/>
        <v>4</v>
      </c>
      <c r="K158" s="182">
        <f t="shared" si="92"/>
        <v>28</v>
      </c>
      <c r="L158" s="182">
        <f t="shared" si="92"/>
        <v>32</v>
      </c>
      <c r="M158" s="182">
        <f t="shared" si="92"/>
        <v>36</v>
      </c>
      <c r="N158" s="182">
        <f t="shared" si="92"/>
        <v>1</v>
      </c>
      <c r="O158" s="182">
        <f t="shared" si="92"/>
        <v>19</v>
      </c>
      <c r="P158" s="182">
        <f t="shared" si="92"/>
        <v>5</v>
      </c>
      <c r="Q158" s="182">
        <f t="shared" si="92"/>
        <v>3</v>
      </c>
      <c r="R158" s="182">
        <f t="shared" si="92"/>
        <v>14</v>
      </c>
      <c r="S158" s="182">
        <f t="shared" si="92"/>
        <v>18</v>
      </c>
      <c r="T158" s="182">
        <f t="shared" si="92"/>
        <v>30</v>
      </c>
      <c r="U158" s="182">
        <f t="shared" si="92"/>
        <v>16</v>
      </c>
      <c r="V158" s="182">
        <f t="shared" si="92"/>
        <v>9</v>
      </c>
      <c r="W158" s="182">
        <f t="shared" si="92"/>
        <v>13</v>
      </c>
      <c r="X158" s="182">
        <f t="shared" si="92"/>
        <v>21</v>
      </c>
      <c r="Y158" s="182">
        <f t="shared" si="92"/>
        <v>23</v>
      </c>
      <c r="Z158" s="182">
        <f t="shared" si="92"/>
        <v>24</v>
      </c>
      <c r="AA158" s="182">
        <f t="shared" si="92"/>
        <v>35</v>
      </c>
      <c r="AB158" s="182">
        <f t="shared" si="92"/>
        <v>12</v>
      </c>
      <c r="AC158" s="182">
        <f t="shared" si="92"/>
        <v>20</v>
      </c>
      <c r="AD158" s="182">
        <f t="shared" si="92"/>
        <v>29</v>
      </c>
      <c r="AE158" s="182">
        <f t="shared" si="92"/>
        <v>7</v>
      </c>
      <c r="AF158" s="182">
        <f t="shared" si="92"/>
        <v>25</v>
      </c>
      <c r="AG158" s="182">
        <f t="shared" si="92"/>
        <v>8</v>
      </c>
      <c r="AH158" s="182">
        <f t="shared" si="92"/>
        <v>33</v>
      </c>
      <c r="AI158" s="182">
        <f t="shared" si="92"/>
        <v>34</v>
      </c>
      <c r="AJ158" s="182">
        <f t="shared" si="92"/>
        <v>31</v>
      </c>
      <c r="AK158" s="182">
        <f t="shared" si="92"/>
        <v>6</v>
      </c>
      <c r="AL158" s="182">
        <f t="shared" si="92"/>
        <v>22</v>
      </c>
      <c r="AM158" s="182"/>
      <c r="AN158" s="182"/>
      <c r="AO158" s="182"/>
      <c r="AP158" s="182"/>
      <c r="AQ158" s="182"/>
    </row>
    <row r="159" spans="1:43" x14ac:dyDescent="0.2">
      <c r="A159" s="26" t="s">
        <v>2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N159" s="195"/>
    </row>
    <row r="160" spans="1:43" x14ac:dyDescent="0.2">
      <c r="A160" s="6" t="s">
        <v>4</v>
      </c>
      <c r="B160" s="45"/>
      <c r="C160" s="182">
        <v>1</v>
      </c>
      <c r="D160" s="182">
        <v>2</v>
      </c>
      <c r="E160" s="182">
        <v>3</v>
      </c>
      <c r="F160" s="182">
        <v>4</v>
      </c>
      <c r="G160" s="182">
        <v>5</v>
      </c>
      <c r="H160" s="182">
        <v>6</v>
      </c>
      <c r="I160" s="182">
        <v>7</v>
      </c>
      <c r="J160" s="182">
        <v>8</v>
      </c>
      <c r="K160" s="182">
        <v>9</v>
      </c>
      <c r="L160" s="182">
        <v>10</v>
      </c>
      <c r="M160" s="182">
        <v>11</v>
      </c>
      <c r="N160" s="182">
        <v>12</v>
      </c>
      <c r="O160" s="182">
        <v>13</v>
      </c>
      <c r="P160" s="182">
        <v>14</v>
      </c>
      <c r="Q160" s="182">
        <v>15</v>
      </c>
      <c r="R160" s="182">
        <v>16</v>
      </c>
      <c r="S160" s="182">
        <v>17</v>
      </c>
      <c r="T160" s="182">
        <v>17</v>
      </c>
      <c r="U160" s="182">
        <v>19</v>
      </c>
      <c r="V160" s="182">
        <v>20</v>
      </c>
      <c r="W160" s="182">
        <v>21</v>
      </c>
      <c r="X160" s="182">
        <v>22</v>
      </c>
      <c r="Y160" s="182">
        <v>23</v>
      </c>
      <c r="Z160" s="182">
        <v>24</v>
      </c>
      <c r="AA160" s="182">
        <v>24</v>
      </c>
      <c r="AB160" s="182">
        <v>26</v>
      </c>
      <c r="AC160" s="182">
        <v>27</v>
      </c>
      <c r="AD160" s="182">
        <v>28</v>
      </c>
      <c r="AE160" s="182">
        <v>29</v>
      </c>
      <c r="AF160" s="182">
        <v>30</v>
      </c>
      <c r="AG160" s="197">
        <v>31</v>
      </c>
      <c r="AH160" s="182">
        <v>32</v>
      </c>
      <c r="AI160" s="182">
        <v>33</v>
      </c>
      <c r="AJ160" s="197">
        <v>34</v>
      </c>
      <c r="AK160" s="182">
        <v>35</v>
      </c>
      <c r="AL160" s="197">
        <v>36</v>
      </c>
      <c r="AM160" s="197"/>
    </row>
    <row r="161" spans="1:40" ht="43.2" x14ac:dyDescent="0.2">
      <c r="A161" s="13" t="s">
        <v>29</v>
      </c>
      <c r="B161" s="59" t="s">
        <v>157</v>
      </c>
      <c r="C161" s="60" t="s">
        <v>369</v>
      </c>
      <c r="D161" s="61" t="s">
        <v>367</v>
      </c>
      <c r="E161" s="61" t="s">
        <v>365</v>
      </c>
      <c r="F161" s="61" t="s">
        <v>366</v>
      </c>
      <c r="G161" s="61" t="s">
        <v>342</v>
      </c>
      <c r="H161" s="61" t="s">
        <v>340</v>
      </c>
      <c r="I161" s="61" t="s">
        <v>351</v>
      </c>
      <c r="J161" s="61" t="s">
        <v>357</v>
      </c>
      <c r="K161" s="61" t="s">
        <v>343</v>
      </c>
      <c r="L161" s="61" t="s">
        <v>364</v>
      </c>
      <c r="M161" s="61" t="s">
        <v>339</v>
      </c>
      <c r="N161" s="61" t="s">
        <v>368</v>
      </c>
      <c r="O161" s="61" t="s">
        <v>335</v>
      </c>
      <c r="P161" s="61" t="s">
        <v>348</v>
      </c>
      <c r="Q161" s="61" t="s">
        <v>361</v>
      </c>
      <c r="R161" s="61" t="s">
        <v>362</v>
      </c>
      <c r="S161" s="61" t="s">
        <v>360</v>
      </c>
      <c r="T161" s="61" t="s">
        <v>344</v>
      </c>
      <c r="U161" s="61" t="s">
        <v>354</v>
      </c>
      <c r="V161" s="61" t="s">
        <v>363</v>
      </c>
      <c r="W161" s="61" t="s">
        <v>334</v>
      </c>
      <c r="X161" s="61" t="s">
        <v>346</v>
      </c>
      <c r="Y161" s="61" t="s">
        <v>337</v>
      </c>
      <c r="Z161" s="61" t="s">
        <v>350</v>
      </c>
      <c r="AA161" s="61" t="s">
        <v>358</v>
      </c>
      <c r="AB161" s="61" t="s">
        <v>356</v>
      </c>
      <c r="AC161" s="61" t="s">
        <v>345</v>
      </c>
      <c r="AD161" s="61" t="s">
        <v>359</v>
      </c>
      <c r="AE161" s="61" t="s">
        <v>349</v>
      </c>
      <c r="AF161" s="61" t="s">
        <v>341</v>
      </c>
      <c r="AG161" s="61" t="s">
        <v>413</v>
      </c>
      <c r="AH161" s="61" t="s">
        <v>353</v>
      </c>
      <c r="AI161" s="61" t="s">
        <v>347</v>
      </c>
      <c r="AJ161" s="61" t="s">
        <v>352</v>
      </c>
      <c r="AK161" s="61" t="s">
        <v>336</v>
      </c>
      <c r="AL161" s="61" t="s">
        <v>338</v>
      </c>
      <c r="AM161" s="63"/>
      <c r="AN161" s="5" t="s">
        <v>118</v>
      </c>
    </row>
    <row r="162" spans="1:40" ht="13.5" customHeight="1" x14ac:dyDescent="0.2">
      <c r="A162" s="269" t="str">
        <f>A138</f>
        <v>全体(n = 1,616 )　　</v>
      </c>
      <c r="B162" s="113">
        <f>B138</f>
        <v>1616</v>
      </c>
      <c r="C162" s="121">
        <v>504</v>
      </c>
      <c r="D162" s="122">
        <v>504</v>
      </c>
      <c r="E162" s="122">
        <v>438</v>
      </c>
      <c r="F162" s="122">
        <v>396</v>
      </c>
      <c r="G162" s="122">
        <v>388</v>
      </c>
      <c r="H162" s="122">
        <v>330</v>
      </c>
      <c r="I162" s="122">
        <v>300</v>
      </c>
      <c r="J162" s="122">
        <v>237</v>
      </c>
      <c r="K162" s="122">
        <v>223</v>
      </c>
      <c r="L162" s="122">
        <v>210</v>
      </c>
      <c r="M162" s="122">
        <v>208</v>
      </c>
      <c r="N162" s="122">
        <v>201</v>
      </c>
      <c r="O162" s="122">
        <v>183</v>
      </c>
      <c r="P162" s="122">
        <v>178</v>
      </c>
      <c r="Q162" s="122">
        <v>165</v>
      </c>
      <c r="R162" s="122">
        <v>161</v>
      </c>
      <c r="S162" s="122">
        <v>161</v>
      </c>
      <c r="T162" s="122">
        <v>157</v>
      </c>
      <c r="U162" s="122">
        <v>145</v>
      </c>
      <c r="V162" s="122">
        <v>139</v>
      </c>
      <c r="W162" s="122">
        <v>135</v>
      </c>
      <c r="X162" s="122">
        <v>134</v>
      </c>
      <c r="Y162" s="122">
        <v>129</v>
      </c>
      <c r="Z162" s="122">
        <v>101</v>
      </c>
      <c r="AA162" s="122">
        <v>91</v>
      </c>
      <c r="AB162" s="122">
        <v>87</v>
      </c>
      <c r="AC162" s="122">
        <v>86</v>
      </c>
      <c r="AD162" s="122">
        <v>85</v>
      </c>
      <c r="AE162" s="122">
        <v>83</v>
      </c>
      <c r="AF162" s="122">
        <v>79</v>
      </c>
      <c r="AG162" s="122">
        <v>67</v>
      </c>
      <c r="AH162" s="122">
        <v>63</v>
      </c>
      <c r="AI162" s="122">
        <v>58</v>
      </c>
      <c r="AJ162" s="122">
        <v>55</v>
      </c>
      <c r="AK162" s="122">
        <v>49</v>
      </c>
      <c r="AL162" s="122">
        <v>14</v>
      </c>
      <c r="AM162" s="124"/>
      <c r="AN162" s="5">
        <f>SUM(C162:AM162)</f>
        <v>6544</v>
      </c>
    </row>
    <row r="163" spans="1:40" x14ac:dyDescent="0.2">
      <c r="A163" s="270"/>
      <c r="B163" s="114">
        <f t="shared" ref="B163:B181" si="93">B139</f>
        <v>100</v>
      </c>
      <c r="C163" s="125">
        <v>31.188118811881189</v>
      </c>
      <c r="D163" s="126">
        <v>31.188118811881189</v>
      </c>
      <c r="E163" s="126">
        <v>27.103960396039607</v>
      </c>
      <c r="F163" s="126">
        <v>24.504950495049506</v>
      </c>
      <c r="G163" s="126">
        <v>24.009900990099009</v>
      </c>
      <c r="H163" s="126">
        <v>20.420792079207921</v>
      </c>
      <c r="I163" s="126">
        <v>18.564356435643564</v>
      </c>
      <c r="J163" s="126">
        <v>14.665841584158414</v>
      </c>
      <c r="K163" s="126">
        <v>13.79950495049505</v>
      </c>
      <c r="L163" s="126">
        <v>12.995049504950495</v>
      </c>
      <c r="M163" s="126">
        <v>12.871287128712872</v>
      </c>
      <c r="N163" s="126">
        <v>12.438118811881187</v>
      </c>
      <c r="O163" s="126">
        <v>11.324257425742575</v>
      </c>
      <c r="P163" s="126">
        <v>11.014851485148515</v>
      </c>
      <c r="Q163" s="126">
        <v>10.21039603960396</v>
      </c>
      <c r="R163" s="126">
        <v>9.9628712871287135</v>
      </c>
      <c r="S163" s="126">
        <v>9.9628712871287135</v>
      </c>
      <c r="T163" s="126">
        <v>9.7153465346534649</v>
      </c>
      <c r="U163" s="126">
        <v>8.9727722772277225</v>
      </c>
      <c r="V163" s="126">
        <v>8.6014851485148505</v>
      </c>
      <c r="W163" s="126">
        <v>8.3539603960396036</v>
      </c>
      <c r="X163" s="126">
        <v>8.2920792079207928</v>
      </c>
      <c r="Y163" s="126">
        <v>7.9826732673267324</v>
      </c>
      <c r="Z163" s="126">
        <v>6.25</v>
      </c>
      <c r="AA163" s="126">
        <v>5.6311881188118811</v>
      </c>
      <c r="AB163" s="126">
        <v>5.3836633663366333</v>
      </c>
      <c r="AC163" s="126">
        <v>5.3217821782178216</v>
      </c>
      <c r="AD163" s="126">
        <v>5.2599009900990099</v>
      </c>
      <c r="AE163" s="126">
        <v>5.1361386138613856</v>
      </c>
      <c r="AF163" s="126">
        <v>4.8886138613861387</v>
      </c>
      <c r="AG163" s="126">
        <v>4.1460396039603964</v>
      </c>
      <c r="AH163" s="126">
        <v>3.8985148514851486</v>
      </c>
      <c r="AI163" s="126">
        <v>3.5891089108910887</v>
      </c>
      <c r="AJ163" s="126">
        <v>3.4034653465346536</v>
      </c>
      <c r="AK163" s="126">
        <v>3.032178217821782</v>
      </c>
      <c r="AL163" s="126">
        <v>0.86633663366336644</v>
      </c>
      <c r="AM163" s="128"/>
      <c r="AN163" s="195"/>
    </row>
    <row r="164" spans="1:40" ht="13.5" customHeight="1" x14ac:dyDescent="0.2">
      <c r="A164" s="269" t="str">
        <f>A140</f>
        <v>自営業(n = 175 )　　</v>
      </c>
      <c r="B164" s="113">
        <f t="shared" si="93"/>
        <v>175</v>
      </c>
      <c r="C164" s="129">
        <v>51</v>
      </c>
      <c r="D164" s="130">
        <v>49</v>
      </c>
      <c r="E164" s="130">
        <v>40</v>
      </c>
      <c r="F164" s="130">
        <v>36</v>
      </c>
      <c r="G164" s="130">
        <v>43</v>
      </c>
      <c r="H164" s="130">
        <v>37</v>
      </c>
      <c r="I164" s="130">
        <v>26</v>
      </c>
      <c r="J164" s="130">
        <v>23</v>
      </c>
      <c r="K164" s="130">
        <v>16</v>
      </c>
      <c r="L164" s="130">
        <v>23</v>
      </c>
      <c r="M164" s="130">
        <v>24</v>
      </c>
      <c r="N164" s="130">
        <v>19</v>
      </c>
      <c r="O164" s="130">
        <v>12</v>
      </c>
      <c r="P164" s="130">
        <v>37</v>
      </c>
      <c r="Q164" s="130">
        <v>20</v>
      </c>
      <c r="R164" s="130">
        <v>15</v>
      </c>
      <c r="S164" s="130">
        <v>21</v>
      </c>
      <c r="T164" s="130">
        <v>17</v>
      </c>
      <c r="U164" s="130">
        <v>4</v>
      </c>
      <c r="V164" s="130">
        <v>14</v>
      </c>
      <c r="W164" s="130">
        <v>22</v>
      </c>
      <c r="X164" s="130">
        <v>18</v>
      </c>
      <c r="Y164" s="130">
        <v>9</v>
      </c>
      <c r="Z164" s="130">
        <v>16</v>
      </c>
      <c r="AA164" s="130">
        <v>10</v>
      </c>
      <c r="AB164" s="130">
        <v>7</v>
      </c>
      <c r="AC164" s="130">
        <v>14</v>
      </c>
      <c r="AD164" s="130">
        <v>7</v>
      </c>
      <c r="AE164" s="130">
        <v>6</v>
      </c>
      <c r="AF164" s="130">
        <v>10</v>
      </c>
      <c r="AG164" s="130">
        <v>9</v>
      </c>
      <c r="AH164" s="130">
        <v>5</v>
      </c>
      <c r="AI164" s="130">
        <v>6</v>
      </c>
      <c r="AJ164" s="130">
        <v>3</v>
      </c>
      <c r="AK164" s="130">
        <v>7</v>
      </c>
      <c r="AL164" s="130">
        <v>2</v>
      </c>
      <c r="AM164" s="131"/>
      <c r="AN164" s="5">
        <f>SUM(C164:AM164)</f>
        <v>678</v>
      </c>
    </row>
    <row r="165" spans="1:40" x14ac:dyDescent="0.2">
      <c r="A165" s="270"/>
      <c r="B165" s="114">
        <f t="shared" si="93"/>
        <v>10.829207920792079</v>
      </c>
      <c r="C165" s="125">
        <v>29.142857142857142</v>
      </c>
      <c r="D165" s="126">
        <v>28.000000000000004</v>
      </c>
      <c r="E165" s="126">
        <v>22.857142857142858</v>
      </c>
      <c r="F165" s="126">
        <v>20.571428571428569</v>
      </c>
      <c r="G165" s="126">
        <v>24.571428571428573</v>
      </c>
      <c r="H165" s="126">
        <v>21.142857142857142</v>
      </c>
      <c r="I165" s="126">
        <v>14.857142857142858</v>
      </c>
      <c r="J165" s="126">
        <v>13.142857142857142</v>
      </c>
      <c r="K165" s="126">
        <v>9.1428571428571423</v>
      </c>
      <c r="L165" s="126">
        <v>13.142857142857142</v>
      </c>
      <c r="M165" s="126">
        <v>13.714285714285715</v>
      </c>
      <c r="N165" s="126">
        <v>10.857142857142858</v>
      </c>
      <c r="O165" s="126">
        <v>6.8571428571428577</v>
      </c>
      <c r="P165" s="126">
        <v>21.142857142857142</v>
      </c>
      <c r="Q165" s="126">
        <v>11.428571428571429</v>
      </c>
      <c r="R165" s="126">
        <v>8.5714285714285712</v>
      </c>
      <c r="S165" s="126">
        <v>12</v>
      </c>
      <c r="T165" s="126">
        <v>9.7142857142857135</v>
      </c>
      <c r="U165" s="126">
        <v>2.2857142857142856</v>
      </c>
      <c r="V165" s="126">
        <v>8</v>
      </c>
      <c r="W165" s="126">
        <v>12.571428571428573</v>
      </c>
      <c r="X165" s="126">
        <v>10.285714285714285</v>
      </c>
      <c r="Y165" s="126">
        <v>5.1428571428571423</v>
      </c>
      <c r="Z165" s="126">
        <v>9.1428571428571423</v>
      </c>
      <c r="AA165" s="126">
        <v>5.7142857142857144</v>
      </c>
      <c r="AB165" s="126">
        <v>4</v>
      </c>
      <c r="AC165" s="126">
        <v>8</v>
      </c>
      <c r="AD165" s="126">
        <v>4</v>
      </c>
      <c r="AE165" s="126">
        <v>3.4285714285714288</v>
      </c>
      <c r="AF165" s="126">
        <v>5.7142857142857144</v>
      </c>
      <c r="AG165" s="126">
        <v>5.1428571428571423</v>
      </c>
      <c r="AH165" s="126">
        <v>2.8571428571428572</v>
      </c>
      <c r="AI165" s="126">
        <v>3.4285714285714288</v>
      </c>
      <c r="AJ165" s="126">
        <v>1.7142857142857144</v>
      </c>
      <c r="AK165" s="126">
        <v>4</v>
      </c>
      <c r="AL165" s="126">
        <v>1.1428571428571428</v>
      </c>
      <c r="AM165" s="128"/>
      <c r="AN165" s="195"/>
    </row>
    <row r="166" spans="1:40" ht="13.5" customHeight="1" x14ac:dyDescent="0.2">
      <c r="A166" s="269" t="str">
        <f>A142</f>
        <v>自由業(※1)(n = 12 )　　</v>
      </c>
      <c r="B166" s="113">
        <f t="shared" si="93"/>
        <v>12</v>
      </c>
      <c r="C166" s="129">
        <v>3</v>
      </c>
      <c r="D166" s="130">
        <v>2</v>
      </c>
      <c r="E166" s="130">
        <v>2</v>
      </c>
      <c r="F166" s="130">
        <v>4</v>
      </c>
      <c r="G166" s="130">
        <v>1</v>
      </c>
      <c r="H166" s="130">
        <v>2</v>
      </c>
      <c r="I166" s="130">
        <v>1</v>
      </c>
      <c r="J166" s="130">
        <v>3</v>
      </c>
      <c r="K166" s="130">
        <v>5</v>
      </c>
      <c r="L166" s="130">
        <v>1</v>
      </c>
      <c r="M166" s="130">
        <v>1</v>
      </c>
      <c r="N166" s="130">
        <v>2</v>
      </c>
      <c r="O166" s="130">
        <v>1</v>
      </c>
      <c r="P166" s="130">
        <v>3</v>
      </c>
      <c r="Q166" s="130">
        <v>1</v>
      </c>
      <c r="R166" s="130">
        <v>1</v>
      </c>
      <c r="S166" s="130">
        <v>3</v>
      </c>
      <c r="T166" s="130">
        <v>3</v>
      </c>
      <c r="U166" s="130">
        <v>1</v>
      </c>
      <c r="V166" s="130">
        <v>1</v>
      </c>
      <c r="W166" s="130">
        <v>0</v>
      </c>
      <c r="X166" s="130">
        <v>0</v>
      </c>
      <c r="Y166" s="130">
        <v>1</v>
      </c>
      <c r="Z166" s="130">
        <v>2</v>
      </c>
      <c r="AA166" s="130">
        <v>0</v>
      </c>
      <c r="AB166" s="130">
        <v>0</v>
      </c>
      <c r="AC166" s="130">
        <v>0</v>
      </c>
      <c r="AD166" s="130">
        <v>1</v>
      </c>
      <c r="AE166" s="130">
        <v>0</v>
      </c>
      <c r="AF166" s="130">
        <v>2</v>
      </c>
      <c r="AG166" s="130">
        <v>1</v>
      </c>
      <c r="AH166" s="130">
        <v>0</v>
      </c>
      <c r="AI166" s="130">
        <v>0</v>
      </c>
      <c r="AJ166" s="130">
        <v>0</v>
      </c>
      <c r="AK166" s="130">
        <v>1</v>
      </c>
      <c r="AL166" s="130">
        <v>0</v>
      </c>
      <c r="AM166" s="131"/>
      <c r="AN166" s="5">
        <f>SUM(C166:AM166)</f>
        <v>49</v>
      </c>
    </row>
    <row r="167" spans="1:40" x14ac:dyDescent="0.2">
      <c r="A167" s="270"/>
      <c r="B167" s="114">
        <f t="shared" si="93"/>
        <v>0.74257425742574257</v>
      </c>
      <c r="C167" s="125">
        <v>25</v>
      </c>
      <c r="D167" s="126">
        <v>16.666666666666664</v>
      </c>
      <c r="E167" s="126">
        <v>16.666666666666664</v>
      </c>
      <c r="F167" s="126">
        <v>33.333333333333329</v>
      </c>
      <c r="G167" s="126">
        <v>8.3333333333333321</v>
      </c>
      <c r="H167" s="126">
        <v>16.666666666666664</v>
      </c>
      <c r="I167" s="126">
        <v>8.3333333333333321</v>
      </c>
      <c r="J167" s="126">
        <v>25</v>
      </c>
      <c r="K167" s="126">
        <v>41.666666666666671</v>
      </c>
      <c r="L167" s="126">
        <v>8.3333333333333321</v>
      </c>
      <c r="M167" s="126">
        <v>8.3333333333333321</v>
      </c>
      <c r="N167" s="126">
        <v>16.666666666666664</v>
      </c>
      <c r="O167" s="126">
        <v>8.3333333333333321</v>
      </c>
      <c r="P167" s="126">
        <v>25</v>
      </c>
      <c r="Q167" s="126">
        <v>8.3333333333333321</v>
      </c>
      <c r="R167" s="126">
        <v>8.3333333333333321</v>
      </c>
      <c r="S167" s="126">
        <v>25</v>
      </c>
      <c r="T167" s="126">
        <v>25</v>
      </c>
      <c r="U167" s="126">
        <v>8.3333333333333321</v>
      </c>
      <c r="V167" s="126">
        <v>8.3333333333333321</v>
      </c>
      <c r="W167" s="126">
        <v>0</v>
      </c>
      <c r="X167" s="126">
        <v>0</v>
      </c>
      <c r="Y167" s="126">
        <v>8.3333333333333321</v>
      </c>
      <c r="Z167" s="126">
        <v>16.666666666666664</v>
      </c>
      <c r="AA167" s="126">
        <v>0</v>
      </c>
      <c r="AB167" s="126">
        <v>0</v>
      </c>
      <c r="AC167" s="126">
        <v>0</v>
      </c>
      <c r="AD167" s="126">
        <v>8.3333333333333321</v>
      </c>
      <c r="AE167" s="126">
        <v>0</v>
      </c>
      <c r="AF167" s="126">
        <v>16.666666666666664</v>
      </c>
      <c r="AG167" s="126">
        <v>8.3333333333333321</v>
      </c>
      <c r="AH167" s="126">
        <v>0</v>
      </c>
      <c r="AI167" s="126">
        <v>0</v>
      </c>
      <c r="AJ167" s="126">
        <v>0</v>
      </c>
      <c r="AK167" s="126">
        <v>8.3333333333333321</v>
      </c>
      <c r="AL167" s="126">
        <v>0</v>
      </c>
      <c r="AM167" s="128"/>
      <c r="AN167" s="195"/>
    </row>
    <row r="168" spans="1:40" ht="13.5" customHeight="1" x14ac:dyDescent="0.2">
      <c r="A168" s="269" t="str">
        <f>A144</f>
        <v>会社・団体役員(n = 171 )　　</v>
      </c>
      <c r="B168" s="113">
        <f t="shared" si="93"/>
        <v>171</v>
      </c>
      <c r="C168" s="129">
        <v>50</v>
      </c>
      <c r="D168" s="130">
        <v>36</v>
      </c>
      <c r="E168" s="130">
        <v>55</v>
      </c>
      <c r="F168" s="130">
        <v>37</v>
      </c>
      <c r="G168" s="130">
        <v>53</v>
      </c>
      <c r="H168" s="130">
        <v>37</v>
      </c>
      <c r="I168" s="130">
        <v>28</v>
      </c>
      <c r="J168" s="130">
        <v>30</v>
      </c>
      <c r="K168" s="130">
        <v>22</v>
      </c>
      <c r="L168" s="130">
        <v>24</v>
      </c>
      <c r="M168" s="130">
        <v>20</v>
      </c>
      <c r="N168" s="130">
        <v>23</v>
      </c>
      <c r="O168" s="130">
        <v>15</v>
      </c>
      <c r="P168" s="130">
        <v>18</v>
      </c>
      <c r="Q168" s="130">
        <v>20</v>
      </c>
      <c r="R168" s="130">
        <v>17</v>
      </c>
      <c r="S168" s="130">
        <v>31</v>
      </c>
      <c r="T168" s="130">
        <v>24</v>
      </c>
      <c r="U168" s="130">
        <v>14</v>
      </c>
      <c r="V168" s="130">
        <v>17</v>
      </c>
      <c r="W168" s="130">
        <v>17</v>
      </c>
      <c r="X168" s="130">
        <v>21</v>
      </c>
      <c r="Y168" s="130">
        <v>7</v>
      </c>
      <c r="Z168" s="130">
        <v>6</v>
      </c>
      <c r="AA168" s="130">
        <v>9</v>
      </c>
      <c r="AB168" s="130">
        <v>10</v>
      </c>
      <c r="AC168" s="130">
        <v>11</v>
      </c>
      <c r="AD168" s="130">
        <v>13</v>
      </c>
      <c r="AE168" s="130">
        <v>7</v>
      </c>
      <c r="AF168" s="130">
        <v>14</v>
      </c>
      <c r="AG168" s="130">
        <v>12</v>
      </c>
      <c r="AH168" s="130">
        <v>9</v>
      </c>
      <c r="AI168" s="130">
        <v>5</v>
      </c>
      <c r="AJ168" s="130">
        <v>9</v>
      </c>
      <c r="AK168" s="130">
        <v>2</v>
      </c>
      <c r="AL168" s="130">
        <v>2</v>
      </c>
      <c r="AM168" s="131"/>
      <c r="AN168" s="5">
        <f>SUM(C168:AM168)</f>
        <v>725</v>
      </c>
    </row>
    <row r="169" spans="1:40" x14ac:dyDescent="0.2">
      <c r="A169" s="270"/>
      <c r="B169" s="114">
        <f t="shared" si="93"/>
        <v>10.581683168316831</v>
      </c>
      <c r="C169" s="125">
        <v>29.239766081871345</v>
      </c>
      <c r="D169" s="126">
        <v>21.052631578947366</v>
      </c>
      <c r="E169" s="126">
        <v>32.163742690058477</v>
      </c>
      <c r="F169" s="126">
        <v>21.637426900584796</v>
      </c>
      <c r="G169" s="126">
        <v>30.994152046783626</v>
      </c>
      <c r="H169" s="126">
        <v>21.637426900584796</v>
      </c>
      <c r="I169" s="126">
        <v>16.374269005847953</v>
      </c>
      <c r="J169" s="126">
        <v>17.543859649122805</v>
      </c>
      <c r="K169" s="126">
        <v>12.865497076023392</v>
      </c>
      <c r="L169" s="126">
        <v>14.035087719298245</v>
      </c>
      <c r="M169" s="126">
        <v>11.695906432748536</v>
      </c>
      <c r="N169" s="126">
        <v>13.450292397660817</v>
      </c>
      <c r="O169" s="126">
        <v>8.7719298245614024</v>
      </c>
      <c r="P169" s="126">
        <v>10.526315789473683</v>
      </c>
      <c r="Q169" s="126">
        <v>11.695906432748536</v>
      </c>
      <c r="R169" s="126">
        <v>9.9415204678362574</v>
      </c>
      <c r="S169" s="126">
        <v>18.128654970760234</v>
      </c>
      <c r="T169" s="126">
        <v>14.035087719298245</v>
      </c>
      <c r="U169" s="126">
        <v>8.1871345029239766</v>
      </c>
      <c r="V169" s="126">
        <v>9.9415204678362574</v>
      </c>
      <c r="W169" s="126">
        <v>9.9415204678362574</v>
      </c>
      <c r="X169" s="126">
        <v>12.280701754385964</v>
      </c>
      <c r="Y169" s="126">
        <v>4.0935672514619883</v>
      </c>
      <c r="Z169" s="126">
        <v>3.5087719298245612</v>
      </c>
      <c r="AA169" s="126">
        <v>5.2631578947368416</v>
      </c>
      <c r="AB169" s="126">
        <v>5.8479532163742682</v>
      </c>
      <c r="AC169" s="126">
        <v>6.4327485380116958</v>
      </c>
      <c r="AD169" s="126">
        <v>7.6023391812865491</v>
      </c>
      <c r="AE169" s="126">
        <v>4.0935672514619883</v>
      </c>
      <c r="AF169" s="126">
        <v>8.1871345029239766</v>
      </c>
      <c r="AG169" s="126">
        <v>7.0175438596491224</v>
      </c>
      <c r="AH169" s="126">
        <v>5.2631578947368416</v>
      </c>
      <c r="AI169" s="126">
        <v>2.9239766081871341</v>
      </c>
      <c r="AJ169" s="126">
        <v>5.2631578947368416</v>
      </c>
      <c r="AK169" s="126">
        <v>1.1695906432748537</v>
      </c>
      <c r="AL169" s="126">
        <v>1.1695906432748537</v>
      </c>
      <c r="AM169" s="128"/>
      <c r="AN169" s="195"/>
    </row>
    <row r="170" spans="1:40" ht="13.5" customHeight="1" x14ac:dyDescent="0.2">
      <c r="A170" s="271" t="str">
        <f>A146</f>
        <v>正規の従業員・職員(n = 423 )　　</v>
      </c>
      <c r="B170" s="113">
        <f t="shared" si="93"/>
        <v>423</v>
      </c>
      <c r="C170" s="129">
        <v>118</v>
      </c>
      <c r="D170" s="130">
        <v>125</v>
      </c>
      <c r="E170" s="130">
        <v>138</v>
      </c>
      <c r="F170" s="130">
        <v>104</v>
      </c>
      <c r="G170" s="130">
        <v>116</v>
      </c>
      <c r="H170" s="130">
        <v>89</v>
      </c>
      <c r="I170" s="130">
        <v>85</v>
      </c>
      <c r="J170" s="130">
        <v>58</v>
      </c>
      <c r="K170" s="130">
        <v>50</v>
      </c>
      <c r="L170" s="130">
        <v>49</v>
      </c>
      <c r="M170" s="130">
        <v>46</v>
      </c>
      <c r="N170" s="130">
        <v>55</v>
      </c>
      <c r="O170" s="130">
        <v>68</v>
      </c>
      <c r="P170" s="130">
        <v>60</v>
      </c>
      <c r="Q170" s="130">
        <v>34</v>
      </c>
      <c r="R170" s="130">
        <v>34</v>
      </c>
      <c r="S170" s="130">
        <v>49</v>
      </c>
      <c r="T170" s="130">
        <v>53</v>
      </c>
      <c r="U170" s="130">
        <v>32</v>
      </c>
      <c r="V170" s="130">
        <v>33</v>
      </c>
      <c r="W170" s="130">
        <v>29</v>
      </c>
      <c r="X170" s="130">
        <v>37</v>
      </c>
      <c r="Y170" s="130">
        <v>34</v>
      </c>
      <c r="Z170" s="130">
        <v>16</v>
      </c>
      <c r="AA170" s="130">
        <v>23</v>
      </c>
      <c r="AB170" s="130">
        <v>26</v>
      </c>
      <c r="AC170" s="130">
        <v>19</v>
      </c>
      <c r="AD170" s="130">
        <v>20</v>
      </c>
      <c r="AE170" s="130">
        <v>18</v>
      </c>
      <c r="AF170" s="130">
        <v>22</v>
      </c>
      <c r="AG170" s="130">
        <v>18</v>
      </c>
      <c r="AH170" s="130">
        <v>14</v>
      </c>
      <c r="AI170" s="130">
        <v>8</v>
      </c>
      <c r="AJ170" s="130">
        <v>14</v>
      </c>
      <c r="AK170" s="130">
        <v>12</v>
      </c>
      <c r="AL170" s="130">
        <v>3</v>
      </c>
      <c r="AM170" s="131"/>
      <c r="AN170" s="5">
        <f>SUM(C170:AM170)</f>
        <v>1709</v>
      </c>
    </row>
    <row r="171" spans="1:40" x14ac:dyDescent="0.2">
      <c r="A171" s="272"/>
      <c r="B171" s="114">
        <f t="shared" si="93"/>
        <v>26.175742574257427</v>
      </c>
      <c r="C171" s="125">
        <v>27.895981087470449</v>
      </c>
      <c r="D171" s="126">
        <v>29.550827423167846</v>
      </c>
      <c r="E171" s="126">
        <v>32.62411347517731</v>
      </c>
      <c r="F171" s="126">
        <v>24.58628841607565</v>
      </c>
      <c r="G171" s="126">
        <v>27.423167848699766</v>
      </c>
      <c r="H171" s="126">
        <v>21.040189125295509</v>
      </c>
      <c r="I171" s="126">
        <v>20.094562647754138</v>
      </c>
      <c r="J171" s="126">
        <v>13.711583924349883</v>
      </c>
      <c r="K171" s="126">
        <v>11.82033096926714</v>
      </c>
      <c r="L171" s="126">
        <v>11.583924349881796</v>
      </c>
      <c r="M171" s="126">
        <v>10.874704491725769</v>
      </c>
      <c r="N171" s="126">
        <v>13.002364066193852</v>
      </c>
      <c r="O171" s="126">
        <v>16.07565011820331</v>
      </c>
      <c r="P171" s="126">
        <v>14.184397163120568</v>
      </c>
      <c r="Q171" s="126">
        <v>8.0378250591016549</v>
      </c>
      <c r="R171" s="126">
        <v>8.0378250591016549</v>
      </c>
      <c r="S171" s="126">
        <v>11.583924349881796</v>
      </c>
      <c r="T171" s="126">
        <v>12.529550827423167</v>
      </c>
      <c r="U171" s="126">
        <v>7.5650118203309695</v>
      </c>
      <c r="V171" s="126">
        <v>7.8014184397163122</v>
      </c>
      <c r="W171" s="126">
        <v>6.8557919621749415</v>
      </c>
      <c r="X171" s="126">
        <v>8.7470449172576838</v>
      </c>
      <c r="Y171" s="126">
        <v>8.0378250591016549</v>
      </c>
      <c r="Z171" s="126">
        <v>3.7825059101654848</v>
      </c>
      <c r="AA171" s="126">
        <v>5.4373522458628845</v>
      </c>
      <c r="AB171" s="126">
        <v>6.1465721040189125</v>
      </c>
      <c r="AC171" s="126">
        <v>4.4917257683215128</v>
      </c>
      <c r="AD171" s="126">
        <v>4.7281323877068555</v>
      </c>
      <c r="AE171" s="126">
        <v>4.2553191489361701</v>
      </c>
      <c r="AF171" s="126">
        <v>5.2009456264775409</v>
      </c>
      <c r="AG171" s="126">
        <v>4.2553191489361701</v>
      </c>
      <c r="AH171" s="126">
        <v>3.3096926713947989</v>
      </c>
      <c r="AI171" s="126">
        <v>1.8912529550827424</v>
      </c>
      <c r="AJ171" s="126">
        <v>3.3096926713947989</v>
      </c>
      <c r="AK171" s="126">
        <v>2.8368794326241136</v>
      </c>
      <c r="AL171" s="126">
        <v>0.70921985815602839</v>
      </c>
      <c r="AM171" s="128"/>
      <c r="AN171" s="195"/>
    </row>
    <row r="172" spans="1:40" ht="13.5" customHeight="1" x14ac:dyDescent="0.2">
      <c r="A172" s="265" t="str">
        <f>A148</f>
        <v>パートタイム・アルバイト・派遣(n = 346 )　　</v>
      </c>
      <c r="B172" s="113">
        <f t="shared" si="93"/>
        <v>346</v>
      </c>
      <c r="C172" s="129">
        <v>108</v>
      </c>
      <c r="D172" s="130">
        <v>119</v>
      </c>
      <c r="E172" s="130">
        <v>107</v>
      </c>
      <c r="F172" s="130">
        <v>99</v>
      </c>
      <c r="G172" s="130">
        <v>77</v>
      </c>
      <c r="H172" s="130">
        <v>64</v>
      </c>
      <c r="I172" s="130">
        <v>71</v>
      </c>
      <c r="J172" s="130">
        <v>55</v>
      </c>
      <c r="K172" s="130">
        <v>70</v>
      </c>
      <c r="L172" s="130">
        <v>38</v>
      </c>
      <c r="M172" s="130">
        <v>60</v>
      </c>
      <c r="N172" s="130">
        <v>44</v>
      </c>
      <c r="O172" s="130">
        <v>55</v>
      </c>
      <c r="P172" s="130">
        <v>35</v>
      </c>
      <c r="Q172" s="130">
        <v>36</v>
      </c>
      <c r="R172" s="130">
        <v>41</v>
      </c>
      <c r="S172" s="130">
        <v>21</v>
      </c>
      <c r="T172" s="130">
        <v>28</v>
      </c>
      <c r="U172" s="130">
        <v>40</v>
      </c>
      <c r="V172" s="130">
        <v>22</v>
      </c>
      <c r="W172" s="130">
        <v>25</v>
      </c>
      <c r="X172" s="130">
        <v>24</v>
      </c>
      <c r="Y172" s="130">
        <v>37</v>
      </c>
      <c r="Z172" s="130">
        <v>25</v>
      </c>
      <c r="AA172" s="130">
        <v>20</v>
      </c>
      <c r="AB172" s="130">
        <v>16</v>
      </c>
      <c r="AC172" s="130">
        <v>14</v>
      </c>
      <c r="AD172" s="130">
        <v>15</v>
      </c>
      <c r="AE172" s="130">
        <v>14</v>
      </c>
      <c r="AF172" s="130">
        <v>11</v>
      </c>
      <c r="AG172" s="130">
        <v>12</v>
      </c>
      <c r="AH172" s="130">
        <v>11</v>
      </c>
      <c r="AI172" s="130">
        <v>14</v>
      </c>
      <c r="AJ172" s="130">
        <v>13</v>
      </c>
      <c r="AK172" s="130">
        <v>6</v>
      </c>
      <c r="AL172" s="130">
        <v>1</v>
      </c>
      <c r="AM172" s="131"/>
      <c r="AN172" s="5">
        <f>SUM(C172:AM172)</f>
        <v>1448</v>
      </c>
    </row>
    <row r="173" spans="1:40" x14ac:dyDescent="0.2">
      <c r="A173" s="266"/>
      <c r="B173" s="114">
        <f t="shared" si="93"/>
        <v>21.410891089108912</v>
      </c>
      <c r="C173" s="125">
        <v>31.213872832369944</v>
      </c>
      <c r="D173" s="126">
        <v>34.393063583815028</v>
      </c>
      <c r="E173" s="126">
        <v>30.924855491329478</v>
      </c>
      <c r="F173" s="126">
        <v>28.612716763005778</v>
      </c>
      <c r="G173" s="126">
        <v>22.254335260115607</v>
      </c>
      <c r="H173" s="126">
        <v>18.497109826589593</v>
      </c>
      <c r="I173" s="126">
        <v>20.520231213872833</v>
      </c>
      <c r="J173" s="126">
        <v>15.895953757225435</v>
      </c>
      <c r="K173" s="126">
        <v>20.23121387283237</v>
      </c>
      <c r="L173" s="126">
        <v>10.982658959537572</v>
      </c>
      <c r="M173" s="126">
        <v>17.341040462427745</v>
      </c>
      <c r="N173" s="126">
        <v>12.716763005780345</v>
      </c>
      <c r="O173" s="126">
        <v>15.895953757225435</v>
      </c>
      <c r="P173" s="126">
        <v>10.115606936416185</v>
      </c>
      <c r="Q173" s="126">
        <v>10.404624277456648</v>
      </c>
      <c r="R173" s="126">
        <v>11.849710982658959</v>
      </c>
      <c r="S173" s="126">
        <v>6.0693641618497107</v>
      </c>
      <c r="T173" s="126">
        <v>8.0924855491329488</v>
      </c>
      <c r="U173" s="126">
        <v>11.560693641618498</v>
      </c>
      <c r="V173" s="126">
        <v>6.3583815028901727</v>
      </c>
      <c r="W173" s="126">
        <v>7.2254335260115612</v>
      </c>
      <c r="X173" s="126">
        <v>6.9364161849710975</v>
      </c>
      <c r="Y173" s="126">
        <v>10.693641618497111</v>
      </c>
      <c r="Z173" s="126">
        <v>7.2254335260115612</v>
      </c>
      <c r="AA173" s="126">
        <v>5.7803468208092488</v>
      </c>
      <c r="AB173" s="126">
        <v>4.6242774566473983</v>
      </c>
      <c r="AC173" s="126">
        <v>4.0462427745664744</v>
      </c>
      <c r="AD173" s="126">
        <v>4.3352601156069364</v>
      </c>
      <c r="AE173" s="126">
        <v>4.0462427745664744</v>
      </c>
      <c r="AF173" s="126">
        <v>3.1791907514450863</v>
      </c>
      <c r="AG173" s="126">
        <v>3.4682080924855487</v>
      </c>
      <c r="AH173" s="126">
        <v>3.1791907514450863</v>
      </c>
      <c r="AI173" s="126">
        <v>4.0462427745664744</v>
      </c>
      <c r="AJ173" s="126">
        <v>3.7572254335260116</v>
      </c>
      <c r="AK173" s="126">
        <v>1.7341040462427744</v>
      </c>
      <c r="AL173" s="126">
        <v>0.28901734104046239</v>
      </c>
      <c r="AM173" s="128"/>
      <c r="AN173" s="237"/>
    </row>
    <row r="174" spans="1:40" ht="13.5" customHeight="1" x14ac:dyDescent="0.2">
      <c r="A174" s="269" t="str">
        <f>A150</f>
        <v>学生(n = 44 )　　</v>
      </c>
      <c r="B174" s="113">
        <f t="shared" si="93"/>
        <v>44</v>
      </c>
      <c r="C174" s="129">
        <v>5</v>
      </c>
      <c r="D174" s="130">
        <v>6</v>
      </c>
      <c r="E174" s="130">
        <v>15</v>
      </c>
      <c r="F174" s="130">
        <v>4</v>
      </c>
      <c r="G174" s="130">
        <v>12</v>
      </c>
      <c r="H174" s="130">
        <v>13</v>
      </c>
      <c r="I174" s="130">
        <v>9</v>
      </c>
      <c r="J174" s="130">
        <v>6</v>
      </c>
      <c r="K174" s="130">
        <v>9</v>
      </c>
      <c r="L174" s="130">
        <v>3</v>
      </c>
      <c r="M174" s="130">
        <v>2</v>
      </c>
      <c r="N174" s="130">
        <v>4</v>
      </c>
      <c r="O174" s="130">
        <v>8</v>
      </c>
      <c r="P174" s="130">
        <v>2</v>
      </c>
      <c r="Q174" s="130">
        <v>2</v>
      </c>
      <c r="R174" s="130">
        <v>2</v>
      </c>
      <c r="S174" s="130">
        <v>6</v>
      </c>
      <c r="T174" s="130">
        <v>1</v>
      </c>
      <c r="U174" s="130">
        <v>4</v>
      </c>
      <c r="V174" s="130">
        <v>4</v>
      </c>
      <c r="W174" s="130">
        <v>2</v>
      </c>
      <c r="X174" s="130">
        <v>2</v>
      </c>
      <c r="Y174" s="130">
        <v>9</v>
      </c>
      <c r="Z174" s="130">
        <v>1</v>
      </c>
      <c r="AA174" s="130">
        <v>2</v>
      </c>
      <c r="AB174" s="130">
        <v>0</v>
      </c>
      <c r="AC174" s="130">
        <v>2</v>
      </c>
      <c r="AD174" s="130">
        <v>3</v>
      </c>
      <c r="AE174" s="130">
        <v>2</v>
      </c>
      <c r="AF174" s="130">
        <v>3</v>
      </c>
      <c r="AG174" s="130">
        <v>3</v>
      </c>
      <c r="AH174" s="130">
        <v>2</v>
      </c>
      <c r="AI174" s="130">
        <v>4</v>
      </c>
      <c r="AJ174" s="130">
        <v>1</v>
      </c>
      <c r="AK174" s="130">
        <v>1</v>
      </c>
      <c r="AL174" s="130">
        <v>1</v>
      </c>
      <c r="AM174" s="131"/>
      <c r="AN174" s="5">
        <f>SUM(C174:AM174)</f>
        <v>155</v>
      </c>
    </row>
    <row r="175" spans="1:40" x14ac:dyDescent="0.2">
      <c r="A175" s="270"/>
      <c r="B175" s="114">
        <f t="shared" si="93"/>
        <v>2.722772277227723</v>
      </c>
      <c r="C175" s="125">
        <v>11.363636363636363</v>
      </c>
      <c r="D175" s="126">
        <v>13.636363636363635</v>
      </c>
      <c r="E175" s="126">
        <v>34.090909090909086</v>
      </c>
      <c r="F175" s="126">
        <v>9.0909090909090917</v>
      </c>
      <c r="G175" s="126">
        <v>27.27272727272727</v>
      </c>
      <c r="H175" s="126">
        <v>29.545454545454547</v>
      </c>
      <c r="I175" s="126">
        <v>20.454545454545457</v>
      </c>
      <c r="J175" s="126">
        <v>13.636363636363635</v>
      </c>
      <c r="K175" s="126">
        <v>20.454545454545457</v>
      </c>
      <c r="L175" s="126">
        <v>6.8181818181818175</v>
      </c>
      <c r="M175" s="126">
        <v>4.5454545454545459</v>
      </c>
      <c r="N175" s="126">
        <v>9.0909090909090917</v>
      </c>
      <c r="O175" s="126">
        <v>18.181818181818183</v>
      </c>
      <c r="P175" s="126">
        <v>4.5454545454545459</v>
      </c>
      <c r="Q175" s="126">
        <v>4.5454545454545459</v>
      </c>
      <c r="R175" s="126">
        <v>4.5454545454545459</v>
      </c>
      <c r="S175" s="126">
        <v>13.636363636363635</v>
      </c>
      <c r="T175" s="126">
        <v>2.2727272727272729</v>
      </c>
      <c r="U175" s="126">
        <v>9.0909090909090917</v>
      </c>
      <c r="V175" s="126">
        <v>9.0909090909090917</v>
      </c>
      <c r="W175" s="126">
        <v>4.5454545454545459</v>
      </c>
      <c r="X175" s="126">
        <v>4.5454545454545459</v>
      </c>
      <c r="Y175" s="126">
        <v>20.454545454545457</v>
      </c>
      <c r="Z175" s="126">
        <v>2.2727272727272729</v>
      </c>
      <c r="AA175" s="126">
        <v>4.5454545454545459</v>
      </c>
      <c r="AB175" s="126">
        <v>0</v>
      </c>
      <c r="AC175" s="126">
        <v>4.5454545454545459</v>
      </c>
      <c r="AD175" s="126">
        <v>6.8181818181818175</v>
      </c>
      <c r="AE175" s="126">
        <v>4.5454545454545459</v>
      </c>
      <c r="AF175" s="126">
        <v>6.8181818181818175</v>
      </c>
      <c r="AG175" s="126">
        <v>6.8181818181818175</v>
      </c>
      <c r="AH175" s="126">
        <v>4.5454545454545459</v>
      </c>
      <c r="AI175" s="126">
        <v>9.0909090909090917</v>
      </c>
      <c r="AJ175" s="126">
        <v>2.2727272727272729</v>
      </c>
      <c r="AK175" s="126">
        <v>2.2727272727272729</v>
      </c>
      <c r="AL175" s="126">
        <v>2.2727272727272729</v>
      </c>
      <c r="AM175" s="128"/>
      <c r="AN175" s="195"/>
    </row>
    <row r="176" spans="1:40" ht="13.5" customHeight="1" x14ac:dyDescent="0.2">
      <c r="A176" s="269" t="str">
        <f>A152</f>
        <v>家事従事(n = 150 )　　</v>
      </c>
      <c r="B176" s="113">
        <f t="shared" si="93"/>
        <v>150</v>
      </c>
      <c r="C176" s="129">
        <v>59</v>
      </c>
      <c r="D176" s="130">
        <v>52</v>
      </c>
      <c r="E176" s="130">
        <v>38</v>
      </c>
      <c r="F176" s="130">
        <v>36</v>
      </c>
      <c r="G176" s="130">
        <v>33</v>
      </c>
      <c r="H176" s="130">
        <v>35</v>
      </c>
      <c r="I176" s="130">
        <v>24</v>
      </c>
      <c r="J176" s="130">
        <v>28</v>
      </c>
      <c r="K176" s="130">
        <v>17</v>
      </c>
      <c r="L176" s="130">
        <v>17</v>
      </c>
      <c r="M176" s="130">
        <v>17</v>
      </c>
      <c r="N176" s="130">
        <v>18</v>
      </c>
      <c r="O176" s="130">
        <v>13</v>
      </c>
      <c r="P176" s="130">
        <v>7</v>
      </c>
      <c r="Q176" s="130">
        <v>14</v>
      </c>
      <c r="R176" s="130">
        <v>20</v>
      </c>
      <c r="S176" s="130">
        <v>6</v>
      </c>
      <c r="T176" s="130">
        <v>8</v>
      </c>
      <c r="U176" s="130">
        <v>17</v>
      </c>
      <c r="V176" s="130">
        <v>11</v>
      </c>
      <c r="W176" s="130">
        <v>16</v>
      </c>
      <c r="X176" s="130">
        <v>7</v>
      </c>
      <c r="Y176" s="130">
        <v>14</v>
      </c>
      <c r="Z176" s="130">
        <v>11</v>
      </c>
      <c r="AA176" s="130">
        <v>11</v>
      </c>
      <c r="AB176" s="130">
        <v>6</v>
      </c>
      <c r="AC176" s="130">
        <v>8</v>
      </c>
      <c r="AD176" s="130">
        <v>10</v>
      </c>
      <c r="AE176" s="130">
        <v>8</v>
      </c>
      <c r="AF176" s="130">
        <v>5</v>
      </c>
      <c r="AG176" s="130">
        <v>3</v>
      </c>
      <c r="AH176" s="130">
        <v>3</v>
      </c>
      <c r="AI176" s="130">
        <v>10</v>
      </c>
      <c r="AJ176" s="130">
        <v>6</v>
      </c>
      <c r="AK176" s="130">
        <v>5</v>
      </c>
      <c r="AL176" s="130">
        <v>1</v>
      </c>
      <c r="AM176" s="131"/>
      <c r="AN176" s="5">
        <f>SUM(C176:AM176)</f>
        <v>594</v>
      </c>
    </row>
    <row r="177" spans="1:40" x14ac:dyDescent="0.2">
      <c r="A177" s="270"/>
      <c r="B177" s="114">
        <f t="shared" si="93"/>
        <v>9.282178217821782</v>
      </c>
      <c r="C177" s="125">
        <v>39.333333333333329</v>
      </c>
      <c r="D177" s="126">
        <v>34.666666666666671</v>
      </c>
      <c r="E177" s="126">
        <v>25.333333333333336</v>
      </c>
      <c r="F177" s="126">
        <v>24</v>
      </c>
      <c r="G177" s="126">
        <v>22</v>
      </c>
      <c r="H177" s="126">
        <v>23.333333333333332</v>
      </c>
      <c r="I177" s="126">
        <v>16</v>
      </c>
      <c r="J177" s="126">
        <v>18.666666666666668</v>
      </c>
      <c r="K177" s="126">
        <v>11.333333333333332</v>
      </c>
      <c r="L177" s="126">
        <v>11.333333333333332</v>
      </c>
      <c r="M177" s="126">
        <v>11.333333333333332</v>
      </c>
      <c r="N177" s="126">
        <v>12</v>
      </c>
      <c r="O177" s="126">
        <v>8.6666666666666679</v>
      </c>
      <c r="P177" s="126">
        <v>4.666666666666667</v>
      </c>
      <c r="Q177" s="126">
        <v>9.3333333333333339</v>
      </c>
      <c r="R177" s="126">
        <v>13.333333333333334</v>
      </c>
      <c r="S177" s="126">
        <v>4</v>
      </c>
      <c r="T177" s="126">
        <v>5.3333333333333339</v>
      </c>
      <c r="U177" s="126">
        <v>11.333333333333332</v>
      </c>
      <c r="V177" s="126">
        <v>7.333333333333333</v>
      </c>
      <c r="W177" s="126">
        <v>10.666666666666668</v>
      </c>
      <c r="X177" s="126">
        <v>4.666666666666667</v>
      </c>
      <c r="Y177" s="126">
        <v>9.3333333333333339</v>
      </c>
      <c r="Z177" s="126">
        <v>7.333333333333333</v>
      </c>
      <c r="AA177" s="126">
        <v>7.333333333333333</v>
      </c>
      <c r="AB177" s="126">
        <v>4</v>
      </c>
      <c r="AC177" s="126">
        <v>5.3333333333333339</v>
      </c>
      <c r="AD177" s="126">
        <v>6.666666666666667</v>
      </c>
      <c r="AE177" s="126">
        <v>5.3333333333333339</v>
      </c>
      <c r="AF177" s="126">
        <v>3.3333333333333335</v>
      </c>
      <c r="AG177" s="126">
        <v>2</v>
      </c>
      <c r="AH177" s="126">
        <v>2</v>
      </c>
      <c r="AI177" s="126">
        <v>6.666666666666667</v>
      </c>
      <c r="AJ177" s="126">
        <v>4</v>
      </c>
      <c r="AK177" s="126">
        <v>3.3333333333333335</v>
      </c>
      <c r="AL177" s="126">
        <v>0.66666666666666674</v>
      </c>
      <c r="AM177" s="128"/>
      <c r="AN177" s="195"/>
    </row>
    <row r="178" spans="1:40" ht="13.5" customHeight="1" x14ac:dyDescent="0.2">
      <c r="A178" s="269" t="str">
        <f>A154</f>
        <v>無職(n = 263 )　　</v>
      </c>
      <c r="B178" s="113">
        <f t="shared" si="93"/>
        <v>263</v>
      </c>
      <c r="C178" s="129">
        <v>90</v>
      </c>
      <c r="D178" s="130">
        <v>108</v>
      </c>
      <c r="E178" s="130">
        <v>36</v>
      </c>
      <c r="F178" s="130">
        <v>69</v>
      </c>
      <c r="G178" s="130">
        <v>50</v>
      </c>
      <c r="H178" s="130">
        <v>50</v>
      </c>
      <c r="I178" s="130">
        <v>49</v>
      </c>
      <c r="J178" s="130">
        <v>31</v>
      </c>
      <c r="K178" s="130">
        <v>28</v>
      </c>
      <c r="L178" s="130">
        <v>46</v>
      </c>
      <c r="M178" s="130">
        <v>34</v>
      </c>
      <c r="N178" s="130">
        <v>33</v>
      </c>
      <c r="O178" s="130">
        <v>11</v>
      </c>
      <c r="P178" s="130">
        <v>15</v>
      </c>
      <c r="Q178" s="130">
        <v>36</v>
      </c>
      <c r="R178" s="130">
        <v>29</v>
      </c>
      <c r="S178" s="130">
        <v>23</v>
      </c>
      <c r="T178" s="130">
        <v>23</v>
      </c>
      <c r="U178" s="130">
        <v>29</v>
      </c>
      <c r="V178" s="130">
        <v>31</v>
      </c>
      <c r="W178" s="130">
        <v>22</v>
      </c>
      <c r="X178" s="130">
        <v>24</v>
      </c>
      <c r="Y178" s="130">
        <v>16</v>
      </c>
      <c r="Z178" s="130">
        <v>23</v>
      </c>
      <c r="AA178" s="130">
        <v>15</v>
      </c>
      <c r="AB178" s="130">
        <v>21</v>
      </c>
      <c r="AC178" s="130">
        <v>17</v>
      </c>
      <c r="AD178" s="130">
        <v>12</v>
      </c>
      <c r="AE178" s="130">
        <v>23</v>
      </c>
      <c r="AF178" s="130">
        <v>12</v>
      </c>
      <c r="AG178" s="130">
        <v>7</v>
      </c>
      <c r="AH178" s="130">
        <v>17</v>
      </c>
      <c r="AI178" s="130">
        <v>10</v>
      </c>
      <c r="AJ178" s="130">
        <v>8</v>
      </c>
      <c r="AK178" s="130">
        <v>15</v>
      </c>
      <c r="AL178" s="130">
        <v>4</v>
      </c>
      <c r="AM178" s="131"/>
      <c r="AN178" s="5">
        <f>SUM(C178:AM178)</f>
        <v>1067</v>
      </c>
    </row>
    <row r="179" spans="1:40" x14ac:dyDescent="0.2">
      <c r="A179" s="270"/>
      <c r="B179" s="114">
        <f t="shared" si="93"/>
        <v>16.274752475247524</v>
      </c>
      <c r="C179" s="125">
        <v>34.22053231939163</v>
      </c>
      <c r="D179" s="126">
        <v>41.064638783269963</v>
      </c>
      <c r="E179" s="126">
        <v>13.688212927756654</v>
      </c>
      <c r="F179" s="126">
        <v>26.235741444866921</v>
      </c>
      <c r="G179" s="126">
        <v>19.011406844106464</v>
      </c>
      <c r="H179" s="126">
        <v>19.011406844106464</v>
      </c>
      <c r="I179" s="126">
        <v>18.631178707224336</v>
      </c>
      <c r="J179" s="126">
        <v>11.787072243346007</v>
      </c>
      <c r="K179" s="126">
        <v>10.646387832699618</v>
      </c>
      <c r="L179" s="126">
        <v>17.490494296577946</v>
      </c>
      <c r="M179" s="126">
        <v>12.927756653992395</v>
      </c>
      <c r="N179" s="126">
        <v>12.547528517110266</v>
      </c>
      <c r="O179" s="126">
        <v>4.1825095057034218</v>
      </c>
      <c r="P179" s="126">
        <v>5.7034220532319395</v>
      </c>
      <c r="Q179" s="126">
        <v>13.688212927756654</v>
      </c>
      <c r="R179" s="126">
        <v>11.02661596958175</v>
      </c>
      <c r="S179" s="126">
        <v>8.7452471482889731</v>
      </c>
      <c r="T179" s="126">
        <v>8.7452471482889731</v>
      </c>
      <c r="U179" s="126">
        <v>11.02661596958175</v>
      </c>
      <c r="V179" s="126">
        <v>11.787072243346007</v>
      </c>
      <c r="W179" s="126">
        <v>8.3650190114068437</v>
      </c>
      <c r="X179" s="126">
        <v>9.1254752851711025</v>
      </c>
      <c r="Y179" s="126">
        <v>6.083650190114068</v>
      </c>
      <c r="Z179" s="126">
        <v>8.7452471482889731</v>
      </c>
      <c r="AA179" s="126">
        <v>5.7034220532319395</v>
      </c>
      <c r="AB179" s="126">
        <v>7.9847908745247151</v>
      </c>
      <c r="AC179" s="126">
        <v>6.4638783269961975</v>
      </c>
      <c r="AD179" s="126">
        <v>4.5627376425855513</v>
      </c>
      <c r="AE179" s="126">
        <v>8.7452471482889731</v>
      </c>
      <c r="AF179" s="126">
        <v>4.5627376425855513</v>
      </c>
      <c r="AG179" s="126">
        <v>2.6615969581749046</v>
      </c>
      <c r="AH179" s="126">
        <v>6.4638783269961975</v>
      </c>
      <c r="AI179" s="126">
        <v>3.8022813688212929</v>
      </c>
      <c r="AJ179" s="126">
        <v>3.041825095057034</v>
      </c>
      <c r="AK179" s="126">
        <v>5.7034220532319395</v>
      </c>
      <c r="AL179" s="126">
        <v>1.520912547528517</v>
      </c>
      <c r="AM179" s="128"/>
      <c r="AN179" s="195"/>
    </row>
    <row r="180" spans="1:40" x14ac:dyDescent="0.2">
      <c r="A180" s="269" t="str">
        <f>A156</f>
        <v>その他(n = 18 )　　</v>
      </c>
      <c r="B180" s="113">
        <f t="shared" si="93"/>
        <v>18</v>
      </c>
      <c r="C180" s="129">
        <v>13</v>
      </c>
      <c r="D180" s="130">
        <v>3</v>
      </c>
      <c r="E180" s="130">
        <v>7</v>
      </c>
      <c r="F180" s="130">
        <v>4</v>
      </c>
      <c r="G180" s="130">
        <v>2</v>
      </c>
      <c r="H180" s="130">
        <v>2</v>
      </c>
      <c r="I180" s="130">
        <v>5</v>
      </c>
      <c r="J180" s="130">
        <v>3</v>
      </c>
      <c r="K180" s="130">
        <v>3</v>
      </c>
      <c r="L180" s="130">
        <v>4</v>
      </c>
      <c r="M180" s="130">
        <v>2</v>
      </c>
      <c r="N180" s="130">
        <v>3</v>
      </c>
      <c r="O180" s="130">
        <v>0</v>
      </c>
      <c r="P180" s="130">
        <v>0</v>
      </c>
      <c r="Q180" s="130">
        <v>2</v>
      </c>
      <c r="R180" s="130">
        <v>1</v>
      </c>
      <c r="S180" s="130">
        <v>1</v>
      </c>
      <c r="T180" s="130">
        <v>0</v>
      </c>
      <c r="U180" s="130">
        <v>3</v>
      </c>
      <c r="V180" s="130">
        <v>3</v>
      </c>
      <c r="W180" s="130">
        <v>1</v>
      </c>
      <c r="X180" s="130">
        <v>1</v>
      </c>
      <c r="Y180" s="130">
        <v>2</v>
      </c>
      <c r="Z180" s="130">
        <v>0</v>
      </c>
      <c r="AA180" s="130">
        <v>0</v>
      </c>
      <c r="AB180" s="130">
        <v>1</v>
      </c>
      <c r="AC180" s="130">
        <v>0</v>
      </c>
      <c r="AD180" s="130">
        <v>3</v>
      </c>
      <c r="AE180" s="130">
        <v>3</v>
      </c>
      <c r="AF180" s="130">
        <v>0</v>
      </c>
      <c r="AG180" s="130">
        <v>2</v>
      </c>
      <c r="AH180" s="130">
        <v>0</v>
      </c>
      <c r="AI180" s="130">
        <v>0</v>
      </c>
      <c r="AJ180" s="130">
        <v>1</v>
      </c>
      <c r="AK180" s="130">
        <v>0</v>
      </c>
      <c r="AL180" s="130">
        <v>0</v>
      </c>
      <c r="AM180" s="131"/>
      <c r="AN180" s="5">
        <f>SUM(C180:AM180)</f>
        <v>75</v>
      </c>
    </row>
    <row r="181" spans="1:40" x14ac:dyDescent="0.2">
      <c r="A181" s="270"/>
      <c r="B181" s="114">
        <f t="shared" si="93"/>
        <v>1.1138613861386137</v>
      </c>
      <c r="C181" s="125">
        <v>72.222222222222214</v>
      </c>
      <c r="D181" s="126">
        <v>16.666666666666664</v>
      </c>
      <c r="E181" s="126">
        <v>38.888888888888893</v>
      </c>
      <c r="F181" s="126">
        <v>22.222222222222221</v>
      </c>
      <c r="G181" s="126">
        <v>11.111111111111111</v>
      </c>
      <c r="H181" s="126">
        <v>11.111111111111111</v>
      </c>
      <c r="I181" s="126">
        <v>27.777777777777779</v>
      </c>
      <c r="J181" s="126">
        <v>16.666666666666664</v>
      </c>
      <c r="K181" s="126">
        <v>16.666666666666664</v>
      </c>
      <c r="L181" s="126">
        <v>22.222222222222221</v>
      </c>
      <c r="M181" s="126">
        <v>11.111111111111111</v>
      </c>
      <c r="N181" s="126">
        <v>16.666666666666664</v>
      </c>
      <c r="O181" s="126">
        <v>0</v>
      </c>
      <c r="P181" s="126">
        <v>0</v>
      </c>
      <c r="Q181" s="126">
        <v>11.111111111111111</v>
      </c>
      <c r="R181" s="126">
        <v>5.5555555555555554</v>
      </c>
      <c r="S181" s="126">
        <v>5.5555555555555554</v>
      </c>
      <c r="T181" s="126">
        <v>0</v>
      </c>
      <c r="U181" s="126">
        <v>16.666666666666664</v>
      </c>
      <c r="V181" s="126">
        <v>16.666666666666664</v>
      </c>
      <c r="W181" s="126">
        <v>5.5555555555555554</v>
      </c>
      <c r="X181" s="126">
        <v>5.5555555555555554</v>
      </c>
      <c r="Y181" s="126">
        <v>11.111111111111111</v>
      </c>
      <c r="Z181" s="126">
        <v>0</v>
      </c>
      <c r="AA181" s="126">
        <v>0</v>
      </c>
      <c r="AB181" s="126">
        <v>5.5555555555555554</v>
      </c>
      <c r="AC181" s="126">
        <v>0</v>
      </c>
      <c r="AD181" s="126">
        <v>16.666666666666664</v>
      </c>
      <c r="AE181" s="126">
        <v>16.666666666666664</v>
      </c>
      <c r="AF181" s="126">
        <v>0</v>
      </c>
      <c r="AG181" s="126">
        <v>11.111111111111111</v>
      </c>
      <c r="AH181" s="126">
        <v>0</v>
      </c>
      <c r="AI181" s="126">
        <v>0</v>
      </c>
      <c r="AJ181" s="126">
        <v>5.5555555555555554</v>
      </c>
      <c r="AK181" s="126">
        <v>0</v>
      </c>
      <c r="AL181" s="126">
        <v>0</v>
      </c>
      <c r="AM181" s="128"/>
      <c r="AN181" s="195"/>
    </row>
    <row r="182" spans="1:40" s="186" customFormat="1" x14ac:dyDescent="0.2">
      <c r="A182" s="184"/>
      <c r="B182" s="182"/>
      <c r="C182" s="182">
        <v>1</v>
      </c>
      <c r="D182" s="182">
        <v>1</v>
      </c>
      <c r="E182" s="182">
        <v>3</v>
      </c>
      <c r="F182" s="182">
        <v>4</v>
      </c>
      <c r="G182" s="182">
        <v>5</v>
      </c>
      <c r="H182" s="182">
        <v>6</v>
      </c>
      <c r="I182" s="182">
        <v>7</v>
      </c>
      <c r="J182" s="182">
        <v>8</v>
      </c>
      <c r="K182" s="182">
        <v>9</v>
      </c>
      <c r="L182" s="182">
        <v>10</v>
      </c>
      <c r="M182" s="182">
        <v>11</v>
      </c>
      <c r="N182" s="182">
        <v>12</v>
      </c>
      <c r="O182" s="182">
        <v>13</v>
      </c>
      <c r="P182" s="182">
        <v>14</v>
      </c>
      <c r="Q182" s="182">
        <v>15</v>
      </c>
      <c r="R182" s="182">
        <v>16</v>
      </c>
      <c r="S182" s="182">
        <v>16</v>
      </c>
      <c r="T182" s="182">
        <v>18</v>
      </c>
      <c r="U182" s="182">
        <v>19</v>
      </c>
      <c r="V182" s="182">
        <v>20</v>
      </c>
      <c r="W182" s="182">
        <v>21</v>
      </c>
      <c r="X182" s="182">
        <v>22</v>
      </c>
      <c r="Y182" s="182">
        <v>23</v>
      </c>
      <c r="Z182" s="182">
        <v>24</v>
      </c>
      <c r="AA182" s="182">
        <v>25</v>
      </c>
      <c r="AB182" s="182">
        <v>26</v>
      </c>
      <c r="AC182" s="182">
        <v>27</v>
      </c>
      <c r="AD182" s="182">
        <v>28</v>
      </c>
      <c r="AE182" s="182">
        <v>29</v>
      </c>
      <c r="AF182" s="182">
        <v>30</v>
      </c>
      <c r="AG182" s="182">
        <v>31</v>
      </c>
      <c r="AH182" s="182">
        <v>32</v>
      </c>
      <c r="AI182" s="182">
        <v>33</v>
      </c>
      <c r="AJ182" s="185">
        <v>34</v>
      </c>
      <c r="AK182" s="185">
        <v>35</v>
      </c>
      <c r="AL182" s="185">
        <v>36</v>
      </c>
      <c r="AM182" s="185"/>
      <c r="AN182" s="182">
        <f>SUM(C182:AM182)</f>
        <v>664</v>
      </c>
    </row>
    <row r="183" spans="1:40" x14ac:dyDescent="0.2">
      <c r="A183" s="26" t="s">
        <v>2</v>
      </c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N183" s="195"/>
    </row>
    <row r="184" spans="1:40" ht="12.75" customHeight="1" x14ac:dyDescent="0.2">
      <c r="A184" s="6" t="s">
        <v>370</v>
      </c>
      <c r="B184" s="4"/>
      <c r="C184" s="27">
        <v>1</v>
      </c>
      <c r="D184" s="27">
        <v>2</v>
      </c>
      <c r="E184" s="27">
        <v>3</v>
      </c>
      <c r="F184" s="27">
        <v>4</v>
      </c>
      <c r="G184" s="27">
        <v>5</v>
      </c>
      <c r="H184" s="27">
        <v>6</v>
      </c>
      <c r="I184" s="27">
        <v>7</v>
      </c>
      <c r="J184" s="27">
        <v>8</v>
      </c>
      <c r="K184" s="27">
        <v>9</v>
      </c>
      <c r="L184" s="27">
        <v>10</v>
      </c>
    </row>
    <row r="185" spans="1:40" ht="32.4" x14ac:dyDescent="0.2">
      <c r="A185" s="12" t="str">
        <f>A137</f>
        <v>【職業別】</v>
      </c>
      <c r="B185" s="59" t="str">
        <f>B122</f>
        <v>調査数</v>
      </c>
      <c r="C185" s="60" t="str">
        <f t="shared" ref="C185:L185" si="94">C161</f>
        <v>防災対策</v>
      </c>
      <c r="D185" s="61" t="str">
        <f t="shared" si="94"/>
        <v>高齢者福祉</v>
      </c>
      <c r="E185" s="61" t="str">
        <f t="shared" si="94"/>
        <v>子育て支援</v>
      </c>
      <c r="F185" s="61" t="str">
        <f t="shared" si="94"/>
        <v>地域医療の確保</v>
      </c>
      <c r="G185" s="61" t="str">
        <f t="shared" si="94"/>
        <v>少子化対策</v>
      </c>
      <c r="H185" s="61" t="str">
        <f t="shared" si="94"/>
        <v>若者の県内定着</v>
      </c>
      <c r="I185" s="62" t="str">
        <f t="shared" si="94"/>
        <v>公共交通の充実</v>
      </c>
      <c r="J185" s="61" t="str">
        <f t="shared" si="94"/>
        <v>学校教育の充実</v>
      </c>
      <c r="K185" s="62" t="str">
        <f t="shared" si="94"/>
        <v>就労支援</v>
      </c>
      <c r="L185" s="63" t="str">
        <f t="shared" si="94"/>
        <v>防犯・交通安全対策</v>
      </c>
    </row>
    <row r="186" spans="1:40" ht="12.75" customHeight="1" x14ac:dyDescent="0.2">
      <c r="A186" s="269" t="str">
        <f>A138</f>
        <v>全体(n = 1,616 )　　</v>
      </c>
      <c r="B186" s="113">
        <f t="shared" ref="B186:B205" si="95">B138</f>
        <v>1616</v>
      </c>
      <c r="C186" s="121">
        <f t="shared" ref="C186:L186" si="96">C162</f>
        <v>504</v>
      </c>
      <c r="D186" s="122">
        <f t="shared" si="96"/>
        <v>504</v>
      </c>
      <c r="E186" s="122">
        <f t="shared" si="96"/>
        <v>438</v>
      </c>
      <c r="F186" s="122">
        <f t="shared" si="96"/>
        <v>396</v>
      </c>
      <c r="G186" s="122">
        <f t="shared" si="96"/>
        <v>388</v>
      </c>
      <c r="H186" s="122">
        <f t="shared" si="96"/>
        <v>330</v>
      </c>
      <c r="I186" s="123">
        <f t="shared" si="96"/>
        <v>300</v>
      </c>
      <c r="J186" s="122">
        <f t="shared" si="96"/>
        <v>237</v>
      </c>
      <c r="K186" s="123">
        <f t="shared" si="96"/>
        <v>223</v>
      </c>
      <c r="L186" s="124">
        <f t="shared" si="96"/>
        <v>210</v>
      </c>
    </row>
    <row r="187" spans="1:40" ht="12.75" customHeight="1" x14ac:dyDescent="0.2">
      <c r="A187" s="270"/>
      <c r="B187" s="114">
        <f t="shared" si="95"/>
        <v>100</v>
      </c>
      <c r="C187" s="125">
        <f t="shared" ref="C187:L187" si="97">C163</f>
        <v>31.188118811881189</v>
      </c>
      <c r="D187" s="126">
        <f t="shared" si="97"/>
        <v>31.188118811881189</v>
      </c>
      <c r="E187" s="126">
        <f t="shared" si="97"/>
        <v>27.103960396039607</v>
      </c>
      <c r="F187" s="126">
        <f t="shared" si="97"/>
        <v>24.504950495049506</v>
      </c>
      <c r="G187" s="126">
        <f t="shared" si="97"/>
        <v>24.009900990099009</v>
      </c>
      <c r="H187" s="126">
        <f t="shared" si="97"/>
        <v>20.420792079207921</v>
      </c>
      <c r="I187" s="127">
        <f t="shared" si="97"/>
        <v>18.564356435643564</v>
      </c>
      <c r="J187" s="126">
        <f t="shared" si="97"/>
        <v>14.665841584158414</v>
      </c>
      <c r="K187" s="127">
        <f t="shared" si="97"/>
        <v>13.79950495049505</v>
      </c>
      <c r="L187" s="128">
        <f t="shared" si="97"/>
        <v>12.995049504950495</v>
      </c>
    </row>
    <row r="188" spans="1:40" ht="12.75" customHeight="1" x14ac:dyDescent="0.2">
      <c r="A188" s="269" t="str">
        <f>A140</f>
        <v>自営業(n = 175 )　　</v>
      </c>
      <c r="B188" s="113">
        <f t="shared" si="95"/>
        <v>175</v>
      </c>
      <c r="C188" s="129">
        <f t="shared" ref="C188:L188" si="98">C164</f>
        <v>51</v>
      </c>
      <c r="D188" s="130">
        <f t="shared" si="98"/>
        <v>49</v>
      </c>
      <c r="E188" s="130">
        <f t="shared" si="98"/>
        <v>40</v>
      </c>
      <c r="F188" s="130">
        <f t="shared" si="98"/>
        <v>36</v>
      </c>
      <c r="G188" s="130">
        <f t="shared" si="98"/>
        <v>43</v>
      </c>
      <c r="H188" s="130">
        <f t="shared" si="98"/>
        <v>37</v>
      </c>
      <c r="I188" s="140">
        <f t="shared" si="98"/>
        <v>26</v>
      </c>
      <c r="J188" s="130">
        <f t="shared" si="98"/>
        <v>23</v>
      </c>
      <c r="K188" s="140">
        <f t="shared" si="98"/>
        <v>16</v>
      </c>
      <c r="L188" s="131">
        <f t="shared" si="98"/>
        <v>23</v>
      </c>
    </row>
    <row r="189" spans="1:40" ht="13.5" customHeight="1" x14ac:dyDescent="0.2">
      <c r="A189" s="270"/>
      <c r="B189" s="114">
        <f t="shared" si="95"/>
        <v>10.829207920792079</v>
      </c>
      <c r="C189" s="125">
        <f t="shared" ref="C189:L189" si="99">C165</f>
        <v>29.142857142857142</v>
      </c>
      <c r="D189" s="126">
        <f t="shared" si="99"/>
        <v>28.000000000000004</v>
      </c>
      <c r="E189" s="126">
        <f t="shared" si="99"/>
        <v>22.857142857142858</v>
      </c>
      <c r="F189" s="126">
        <f t="shared" si="99"/>
        <v>20.571428571428569</v>
      </c>
      <c r="G189" s="126">
        <f t="shared" si="99"/>
        <v>24.571428571428573</v>
      </c>
      <c r="H189" s="126">
        <f t="shared" si="99"/>
        <v>21.142857142857142</v>
      </c>
      <c r="I189" s="127">
        <f t="shared" si="99"/>
        <v>14.857142857142858</v>
      </c>
      <c r="J189" s="126">
        <f t="shared" si="99"/>
        <v>13.142857142857142</v>
      </c>
      <c r="K189" s="127">
        <f t="shared" si="99"/>
        <v>9.1428571428571423</v>
      </c>
      <c r="L189" s="128">
        <f t="shared" si="99"/>
        <v>13.142857142857142</v>
      </c>
    </row>
    <row r="190" spans="1:40" ht="13.5" customHeight="1" x14ac:dyDescent="0.2">
      <c r="A190" s="269" t="str">
        <f>A142</f>
        <v>自由業(※1)(n = 12 )　　</v>
      </c>
      <c r="B190" s="113">
        <f t="shared" si="95"/>
        <v>12</v>
      </c>
      <c r="C190" s="129">
        <f t="shared" ref="C190:L190" si="100">C166</f>
        <v>3</v>
      </c>
      <c r="D190" s="130">
        <f t="shared" si="100"/>
        <v>2</v>
      </c>
      <c r="E190" s="130">
        <f t="shared" si="100"/>
        <v>2</v>
      </c>
      <c r="F190" s="130">
        <f t="shared" si="100"/>
        <v>4</v>
      </c>
      <c r="G190" s="130">
        <f t="shared" si="100"/>
        <v>1</v>
      </c>
      <c r="H190" s="130">
        <f t="shared" si="100"/>
        <v>2</v>
      </c>
      <c r="I190" s="140">
        <f t="shared" si="100"/>
        <v>1</v>
      </c>
      <c r="J190" s="130">
        <f t="shared" si="100"/>
        <v>3</v>
      </c>
      <c r="K190" s="140">
        <f t="shared" si="100"/>
        <v>5</v>
      </c>
      <c r="L190" s="131">
        <f t="shared" si="100"/>
        <v>1</v>
      </c>
    </row>
    <row r="191" spans="1:40" ht="13.5" customHeight="1" x14ac:dyDescent="0.2">
      <c r="A191" s="270"/>
      <c r="B191" s="114">
        <f t="shared" si="95"/>
        <v>0.74257425742574257</v>
      </c>
      <c r="C191" s="125">
        <f t="shared" ref="C191:L191" si="101">C167</f>
        <v>25</v>
      </c>
      <c r="D191" s="126">
        <f t="shared" si="101"/>
        <v>16.666666666666664</v>
      </c>
      <c r="E191" s="126">
        <f t="shared" si="101"/>
        <v>16.666666666666664</v>
      </c>
      <c r="F191" s="126">
        <f t="shared" si="101"/>
        <v>33.333333333333329</v>
      </c>
      <c r="G191" s="126">
        <f t="shared" si="101"/>
        <v>8.3333333333333321</v>
      </c>
      <c r="H191" s="126">
        <f t="shared" si="101"/>
        <v>16.666666666666664</v>
      </c>
      <c r="I191" s="127">
        <f t="shared" si="101"/>
        <v>8.3333333333333321</v>
      </c>
      <c r="J191" s="126">
        <f t="shared" si="101"/>
        <v>25</v>
      </c>
      <c r="K191" s="127">
        <f t="shared" si="101"/>
        <v>41.666666666666671</v>
      </c>
      <c r="L191" s="128">
        <f t="shared" si="101"/>
        <v>8.3333333333333321</v>
      </c>
    </row>
    <row r="192" spans="1:40" ht="13.5" customHeight="1" x14ac:dyDescent="0.2">
      <c r="A192" s="269" t="str">
        <f>A144</f>
        <v>会社・団体役員(n = 171 )　　</v>
      </c>
      <c r="B192" s="113">
        <f t="shared" si="95"/>
        <v>171</v>
      </c>
      <c r="C192" s="129">
        <f t="shared" ref="C192:L192" si="102">C168</f>
        <v>50</v>
      </c>
      <c r="D192" s="130">
        <f t="shared" si="102"/>
        <v>36</v>
      </c>
      <c r="E192" s="130">
        <f t="shared" si="102"/>
        <v>55</v>
      </c>
      <c r="F192" s="130">
        <f t="shared" si="102"/>
        <v>37</v>
      </c>
      <c r="G192" s="130">
        <f t="shared" si="102"/>
        <v>53</v>
      </c>
      <c r="H192" s="130">
        <f t="shared" si="102"/>
        <v>37</v>
      </c>
      <c r="I192" s="140">
        <f t="shared" si="102"/>
        <v>28</v>
      </c>
      <c r="J192" s="130">
        <f t="shared" si="102"/>
        <v>30</v>
      </c>
      <c r="K192" s="140">
        <f t="shared" si="102"/>
        <v>22</v>
      </c>
      <c r="L192" s="131">
        <f t="shared" si="102"/>
        <v>24</v>
      </c>
    </row>
    <row r="193" spans="1:35" x14ac:dyDescent="0.2">
      <c r="A193" s="270"/>
      <c r="B193" s="114">
        <f t="shared" si="95"/>
        <v>10.581683168316831</v>
      </c>
      <c r="C193" s="125">
        <f t="shared" ref="C193:L193" si="103">C169</f>
        <v>29.239766081871345</v>
      </c>
      <c r="D193" s="126">
        <f t="shared" si="103"/>
        <v>21.052631578947366</v>
      </c>
      <c r="E193" s="126">
        <f t="shared" si="103"/>
        <v>32.163742690058477</v>
      </c>
      <c r="F193" s="126">
        <f t="shared" si="103"/>
        <v>21.637426900584796</v>
      </c>
      <c r="G193" s="126">
        <f t="shared" si="103"/>
        <v>30.994152046783626</v>
      </c>
      <c r="H193" s="126">
        <f t="shared" si="103"/>
        <v>21.637426900584796</v>
      </c>
      <c r="I193" s="127">
        <f t="shared" si="103"/>
        <v>16.374269005847953</v>
      </c>
      <c r="J193" s="126">
        <f t="shared" si="103"/>
        <v>17.543859649122805</v>
      </c>
      <c r="K193" s="127">
        <f t="shared" si="103"/>
        <v>12.865497076023392</v>
      </c>
      <c r="L193" s="128">
        <f t="shared" si="103"/>
        <v>14.035087719298245</v>
      </c>
    </row>
    <row r="194" spans="1:35" x14ac:dyDescent="0.2">
      <c r="A194" s="269" t="str">
        <f>A146</f>
        <v>正規の従業員・職員(n = 423 )　　</v>
      </c>
      <c r="B194" s="113">
        <f t="shared" si="95"/>
        <v>423</v>
      </c>
      <c r="C194" s="129">
        <f t="shared" ref="C194:L194" si="104">C170</f>
        <v>118</v>
      </c>
      <c r="D194" s="130">
        <f t="shared" si="104"/>
        <v>125</v>
      </c>
      <c r="E194" s="130">
        <f t="shared" si="104"/>
        <v>138</v>
      </c>
      <c r="F194" s="130">
        <f t="shared" si="104"/>
        <v>104</v>
      </c>
      <c r="G194" s="130">
        <f t="shared" si="104"/>
        <v>116</v>
      </c>
      <c r="H194" s="130">
        <f t="shared" si="104"/>
        <v>89</v>
      </c>
      <c r="I194" s="140">
        <f t="shared" si="104"/>
        <v>85</v>
      </c>
      <c r="J194" s="130">
        <f t="shared" si="104"/>
        <v>58</v>
      </c>
      <c r="K194" s="140">
        <f t="shared" si="104"/>
        <v>50</v>
      </c>
      <c r="L194" s="131">
        <f t="shared" si="104"/>
        <v>49</v>
      </c>
    </row>
    <row r="195" spans="1:35" x14ac:dyDescent="0.2">
      <c r="A195" s="270"/>
      <c r="B195" s="114">
        <f t="shared" si="95"/>
        <v>26.175742574257427</v>
      </c>
      <c r="C195" s="125">
        <f t="shared" ref="C195:L195" si="105">C171</f>
        <v>27.895981087470449</v>
      </c>
      <c r="D195" s="126">
        <f t="shared" si="105"/>
        <v>29.550827423167846</v>
      </c>
      <c r="E195" s="126">
        <f t="shared" si="105"/>
        <v>32.62411347517731</v>
      </c>
      <c r="F195" s="126">
        <f t="shared" si="105"/>
        <v>24.58628841607565</v>
      </c>
      <c r="G195" s="126">
        <f t="shared" si="105"/>
        <v>27.423167848699766</v>
      </c>
      <c r="H195" s="126">
        <f t="shared" si="105"/>
        <v>21.040189125295509</v>
      </c>
      <c r="I195" s="127">
        <f t="shared" si="105"/>
        <v>20.094562647754138</v>
      </c>
      <c r="J195" s="126">
        <f t="shared" si="105"/>
        <v>13.711583924349883</v>
      </c>
      <c r="K195" s="127">
        <f t="shared" si="105"/>
        <v>11.82033096926714</v>
      </c>
      <c r="L195" s="128">
        <f t="shared" si="105"/>
        <v>11.583924349881796</v>
      </c>
    </row>
    <row r="196" spans="1:35" ht="13.5" customHeight="1" x14ac:dyDescent="0.2">
      <c r="A196" s="269" t="str">
        <f>A148</f>
        <v>パートタイム・アルバイト・派遣(n = 346 )　　</v>
      </c>
      <c r="B196" s="113">
        <f t="shared" si="95"/>
        <v>346</v>
      </c>
      <c r="C196" s="129">
        <f t="shared" ref="C196:L196" si="106">C172</f>
        <v>108</v>
      </c>
      <c r="D196" s="130">
        <f t="shared" si="106"/>
        <v>119</v>
      </c>
      <c r="E196" s="130">
        <f t="shared" si="106"/>
        <v>107</v>
      </c>
      <c r="F196" s="130">
        <f t="shared" si="106"/>
        <v>99</v>
      </c>
      <c r="G196" s="130">
        <f t="shared" si="106"/>
        <v>77</v>
      </c>
      <c r="H196" s="130">
        <f t="shared" si="106"/>
        <v>64</v>
      </c>
      <c r="I196" s="140">
        <f t="shared" si="106"/>
        <v>71</v>
      </c>
      <c r="J196" s="130">
        <f t="shared" si="106"/>
        <v>55</v>
      </c>
      <c r="K196" s="140">
        <f t="shared" si="106"/>
        <v>70</v>
      </c>
      <c r="L196" s="131">
        <f t="shared" si="106"/>
        <v>38</v>
      </c>
    </row>
    <row r="197" spans="1:35" ht="13.5" customHeight="1" x14ac:dyDescent="0.2">
      <c r="A197" s="270"/>
      <c r="B197" s="114">
        <f t="shared" si="95"/>
        <v>21.410891089108912</v>
      </c>
      <c r="C197" s="125">
        <f t="shared" ref="C197:L197" si="107">C173</f>
        <v>31.213872832369944</v>
      </c>
      <c r="D197" s="126">
        <f t="shared" si="107"/>
        <v>34.393063583815028</v>
      </c>
      <c r="E197" s="126">
        <f t="shared" si="107"/>
        <v>30.924855491329478</v>
      </c>
      <c r="F197" s="126">
        <f t="shared" si="107"/>
        <v>28.612716763005778</v>
      </c>
      <c r="G197" s="126">
        <f t="shared" si="107"/>
        <v>22.254335260115607</v>
      </c>
      <c r="H197" s="126">
        <f t="shared" si="107"/>
        <v>18.497109826589593</v>
      </c>
      <c r="I197" s="127">
        <f t="shared" si="107"/>
        <v>20.520231213872833</v>
      </c>
      <c r="J197" s="126">
        <f t="shared" si="107"/>
        <v>15.895953757225435</v>
      </c>
      <c r="K197" s="127">
        <f t="shared" si="107"/>
        <v>20.23121387283237</v>
      </c>
      <c r="L197" s="128">
        <f t="shared" si="107"/>
        <v>10.982658959537572</v>
      </c>
    </row>
    <row r="198" spans="1:35" ht="13.5" customHeight="1" x14ac:dyDescent="0.2">
      <c r="A198" s="269" t="str">
        <f>A150</f>
        <v>学生(n = 44 )　　</v>
      </c>
      <c r="B198" s="113">
        <f t="shared" si="95"/>
        <v>44</v>
      </c>
      <c r="C198" s="129">
        <f t="shared" ref="C198:L198" si="108">C174</f>
        <v>5</v>
      </c>
      <c r="D198" s="130">
        <f t="shared" si="108"/>
        <v>6</v>
      </c>
      <c r="E198" s="130">
        <f t="shared" si="108"/>
        <v>15</v>
      </c>
      <c r="F198" s="130">
        <f t="shared" si="108"/>
        <v>4</v>
      </c>
      <c r="G198" s="130">
        <f t="shared" si="108"/>
        <v>12</v>
      </c>
      <c r="H198" s="130">
        <f t="shared" si="108"/>
        <v>13</v>
      </c>
      <c r="I198" s="140">
        <f t="shared" si="108"/>
        <v>9</v>
      </c>
      <c r="J198" s="130">
        <f t="shared" si="108"/>
        <v>6</v>
      </c>
      <c r="K198" s="140">
        <f t="shared" si="108"/>
        <v>9</v>
      </c>
      <c r="L198" s="131">
        <f t="shared" si="108"/>
        <v>3</v>
      </c>
    </row>
    <row r="199" spans="1:35" ht="13.5" customHeight="1" x14ac:dyDescent="0.2">
      <c r="A199" s="270"/>
      <c r="B199" s="114">
        <f t="shared" si="95"/>
        <v>2.722772277227723</v>
      </c>
      <c r="C199" s="125">
        <f t="shared" ref="C199:L199" si="109">C175</f>
        <v>11.363636363636363</v>
      </c>
      <c r="D199" s="126">
        <f t="shared" si="109"/>
        <v>13.636363636363635</v>
      </c>
      <c r="E199" s="126">
        <f t="shared" si="109"/>
        <v>34.090909090909086</v>
      </c>
      <c r="F199" s="126">
        <f t="shared" si="109"/>
        <v>9.0909090909090917</v>
      </c>
      <c r="G199" s="126">
        <f t="shared" si="109"/>
        <v>27.27272727272727</v>
      </c>
      <c r="H199" s="126">
        <f t="shared" si="109"/>
        <v>29.545454545454547</v>
      </c>
      <c r="I199" s="127">
        <f t="shared" si="109"/>
        <v>20.454545454545457</v>
      </c>
      <c r="J199" s="126">
        <f t="shared" si="109"/>
        <v>13.636363636363635</v>
      </c>
      <c r="K199" s="127">
        <f t="shared" si="109"/>
        <v>20.454545454545457</v>
      </c>
      <c r="L199" s="128">
        <f t="shared" si="109"/>
        <v>6.8181818181818175</v>
      </c>
    </row>
    <row r="200" spans="1:35" ht="13.5" customHeight="1" x14ac:dyDescent="0.2">
      <c r="A200" s="269" t="str">
        <f>A152</f>
        <v>家事従事(n = 150 )　　</v>
      </c>
      <c r="B200" s="113">
        <f t="shared" si="95"/>
        <v>150</v>
      </c>
      <c r="C200" s="129">
        <f t="shared" ref="C200:L200" si="110">C176</f>
        <v>59</v>
      </c>
      <c r="D200" s="130">
        <f t="shared" si="110"/>
        <v>52</v>
      </c>
      <c r="E200" s="130">
        <f t="shared" si="110"/>
        <v>38</v>
      </c>
      <c r="F200" s="130">
        <f t="shared" si="110"/>
        <v>36</v>
      </c>
      <c r="G200" s="130">
        <f t="shared" si="110"/>
        <v>33</v>
      </c>
      <c r="H200" s="130">
        <f t="shared" si="110"/>
        <v>35</v>
      </c>
      <c r="I200" s="140">
        <f t="shared" si="110"/>
        <v>24</v>
      </c>
      <c r="J200" s="130">
        <f t="shared" si="110"/>
        <v>28</v>
      </c>
      <c r="K200" s="140">
        <f t="shared" si="110"/>
        <v>17</v>
      </c>
      <c r="L200" s="131">
        <f t="shared" si="110"/>
        <v>17</v>
      </c>
    </row>
    <row r="201" spans="1:35" ht="13.5" customHeight="1" x14ac:dyDescent="0.2">
      <c r="A201" s="270"/>
      <c r="B201" s="114">
        <f t="shared" si="95"/>
        <v>9.282178217821782</v>
      </c>
      <c r="C201" s="125">
        <f t="shared" ref="C201:L201" si="111">C177</f>
        <v>39.333333333333329</v>
      </c>
      <c r="D201" s="126">
        <f t="shared" si="111"/>
        <v>34.666666666666671</v>
      </c>
      <c r="E201" s="126">
        <f t="shared" si="111"/>
        <v>25.333333333333336</v>
      </c>
      <c r="F201" s="126">
        <f t="shared" si="111"/>
        <v>24</v>
      </c>
      <c r="G201" s="126">
        <f t="shared" si="111"/>
        <v>22</v>
      </c>
      <c r="H201" s="126">
        <f t="shared" si="111"/>
        <v>23.333333333333332</v>
      </c>
      <c r="I201" s="127">
        <f t="shared" si="111"/>
        <v>16</v>
      </c>
      <c r="J201" s="126">
        <f t="shared" si="111"/>
        <v>18.666666666666668</v>
      </c>
      <c r="K201" s="127">
        <f t="shared" si="111"/>
        <v>11.333333333333332</v>
      </c>
      <c r="L201" s="128">
        <f t="shared" si="111"/>
        <v>11.333333333333332</v>
      </c>
    </row>
    <row r="202" spans="1:35" ht="13.5" customHeight="1" x14ac:dyDescent="0.2">
      <c r="A202" s="269" t="str">
        <f>A154</f>
        <v>無職(n = 263 )　　</v>
      </c>
      <c r="B202" s="113">
        <f t="shared" si="95"/>
        <v>263</v>
      </c>
      <c r="C202" s="129">
        <f t="shared" ref="C202:L202" si="112">C178</f>
        <v>90</v>
      </c>
      <c r="D202" s="130">
        <f t="shared" si="112"/>
        <v>108</v>
      </c>
      <c r="E202" s="130">
        <f t="shared" si="112"/>
        <v>36</v>
      </c>
      <c r="F202" s="130">
        <f t="shared" si="112"/>
        <v>69</v>
      </c>
      <c r="G202" s="130">
        <f t="shared" si="112"/>
        <v>50</v>
      </c>
      <c r="H202" s="130">
        <f t="shared" si="112"/>
        <v>50</v>
      </c>
      <c r="I202" s="140">
        <f t="shared" si="112"/>
        <v>49</v>
      </c>
      <c r="J202" s="130">
        <f t="shared" si="112"/>
        <v>31</v>
      </c>
      <c r="K202" s="140">
        <f t="shared" si="112"/>
        <v>28</v>
      </c>
      <c r="L202" s="131">
        <f t="shared" si="112"/>
        <v>46</v>
      </c>
    </row>
    <row r="203" spans="1:35" x14ac:dyDescent="0.2">
      <c r="A203" s="270"/>
      <c r="B203" s="114">
        <f t="shared" si="95"/>
        <v>16.274752475247524</v>
      </c>
      <c r="C203" s="125">
        <f t="shared" ref="C203:L203" si="113">C179</f>
        <v>34.22053231939163</v>
      </c>
      <c r="D203" s="126">
        <f t="shared" si="113"/>
        <v>41.064638783269963</v>
      </c>
      <c r="E203" s="126">
        <f t="shared" si="113"/>
        <v>13.688212927756654</v>
      </c>
      <c r="F203" s="126">
        <f t="shared" si="113"/>
        <v>26.235741444866921</v>
      </c>
      <c r="G203" s="126">
        <f t="shared" si="113"/>
        <v>19.011406844106464</v>
      </c>
      <c r="H203" s="126">
        <f t="shared" si="113"/>
        <v>19.011406844106464</v>
      </c>
      <c r="I203" s="127">
        <f t="shared" si="113"/>
        <v>18.631178707224336</v>
      </c>
      <c r="J203" s="126">
        <f t="shared" si="113"/>
        <v>11.787072243346007</v>
      </c>
      <c r="K203" s="127">
        <f t="shared" si="113"/>
        <v>10.646387832699618</v>
      </c>
      <c r="L203" s="128">
        <f t="shared" si="113"/>
        <v>17.490494296577946</v>
      </c>
    </row>
    <row r="204" spans="1:35" x14ac:dyDescent="0.2">
      <c r="A204" s="269" t="str">
        <f>A156</f>
        <v>その他(n = 18 )　　</v>
      </c>
      <c r="B204" s="113">
        <f t="shared" si="95"/>
        <v>18</v>
      </c>
      <c r="C204" s="129">
        <f t="shared" ref="C204:L204" si="114">C180</f>
        <v>13</v>
      </c>
      <c r="D204" s="130">
        <f t="shared" si="114"/>
        <v>3</v>
      </c>
      <c r="E204" s="130">
        <f t="shared" si="114"/>
        <v>7</v>
      </c>
      <c r="F204" s="130">
        <f t="shared" si="114"/>
        <v>4</v>
      </c>
      <c r="G204" s="130">
        <f t="shared" si="114"/>
        <v>2</v>
      </c>
      <c r="H204" s="130">
        <f t="shared" si="114"/>
        <v>2</v>
      </c>
      <c r="I204" s="140">
        <f t="shared" si="114"/>
        <v>5</v>
      </c>
      <c r="J204" s="130">
        <f t="shared" si="114"/>
        <v>3</v>
      </c>
      <c r="K204" s="140">
        <f t="shared" si="114"/>
        <v>3</v>
      </c>
      <c r="L204" s="131">
        <f t="shared" si="114"/>
        <v>4</v>
      </c>
    </row>
    <row r="205" spans="1:35" x14ac:dyDescent="0.2">
      <c r="A205" s="270"/>
      <c r="B205" s="114">
        <f t="shared" si="95"/>
        <v>1.1138613861386137</v>
      </c>
      <c r="C205" s="125">
        <f t="shared" ref="C205:L205" si="115">C181</f>
        <v>72.222222222222214</v>
      </c>
      <c r="D205" s="126">
        <f t="shared" si="115"/>
        <v>16.666666666666664</v>
      </c>
      <c r="E205" s="126">
        <f t="shared" si="115"/>
        <v>38.888888888888893</v>
      </c>
      <c r="F205" s="126">
        <f t="shared" si="115"/>
        <v>22.222222222222221</v>
      </c>
      <c r="G205" s="126">
        <f t="shared" si="115"/>
        <v>11.111111111111111</v>
      </c>
      <c r="H205" s="126">
        <f t="shared" si="115"/>
        <v>11.111111111111111</v>
      </c>
      <c r="I205" s="127">
        <f t="shared" si="115"/>
        <v>27.777777777777779</v>
      </c>
      <c r="J205" s="126">
        <f t="shared" si="115"/>
        <v>16.666666666666664</v>
      </c>
      <c r="K205" s="127">
        <f t="shared" si="115"/>
        <v>16.666666666666664</v>
      </c>
      <c r="L205" s="128">
        <f t="shared" si="115"/>
        <v>22.222222222222221</v>
      </c>
    </row>
    <row r="206" spans="1:35" x14ac:dyDescent="0.2">
      <c r="A206" s="244" t="s">
        <v>2</v>
      </c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</row>
    <row r="207" spans="1:35" ht="12.75" customHeight="1" x14ac:dyDescent="0.2">
      <c r="A207" s="243" t="s">
        <v>371</v>
      </c>
      <c r="B207" s="4"/>
      <c r="C207" s="27">
        <v>1</v>
      </c>
      <c r="D207" s="27">
        <v>2</v>
      </c>
      <c r="E207" s="27">
        <v>3</v>
      </c>
      <c r="F207" s="27">
        <v>4</v>
      </c>
      <c r="G207" s="27">
        <v>5</v>
      </c>
      <c r="H207" s="27">
        <v>6</v>
      </c>
      <c r="I207" s="27">
        <v>7</v>
      </c>
      <c r="J207" s="27">
        <v>8</v>
      </c>
      <c r="K207" s="27">
        <v>9</v>
      </c>
      <c r="L207" s="27">
        <v>10</v>
      </c>
      <c r="O207" s="172">
        <v>1</v>
      </c>
      <c r="P207" s="172">
        <v>2</v>
      </c>
      <c r="Q207" s="172">
        <v>3</v>
      </c>
      <c r="R207" s="172">
        <v>4</v>
      </c>
      <c r="S207" s="172">
        <v>5</v>
      </c>
      <c r="T207" s="172">
        <v>6</v>
      </c>
      <c r="U207" s="172">
        <v>7</v>
      </c>
      <c r="V207" s="172">
        <v>8</v>
      </c>
      <c r="W207" s="172">
        <v>9</v>
      </c>
      <c r="X207" s="172">
        <v>10</v>
      </c>
    </row>
    <row r="208" spans="1:35" ht="33.75" customHeight="1" x14ac:dyDescent="0.2">
      <c r="A208" s="12" t="str">
        <f t="shared" ref="A208:L208" si="116">A185</f>
        <v>【職業別】</v>
      </c>
      <c r="B208" s="59" t="str">
        <f t="shared" si="116"/>
        <v>調査数</v>
      </c>
      <c r="C208" s="60" t="str">
        <f t="shared" si="116"/>
        <v>防災対策</v>
      </c>
      <c r="D208" s="61" t="str">
        <f t="shared" si="116"/>
        <v>高齢者福祉</v>
      </c>
      <c r="E208" s="61" t="str">
        <f t="shared" si="116"/>
        <v>子育て支援</v>
      </c>
      <c r="F208" s="61" t="str">
        <f t="shared" si="116"/>
        <v>地域医療の確保</v>
      </c>
      <c r="G208" s="61" t="str">
        <f t="shared" si="116"/>
        <v>少子化対策</v>
      </c>
      <c r="H208" s="61" t="str">
        <f t="shared" si="116"/>
        <v>若者の県内定着</v>
      </c>
      <c r="I208" s="62" t="str">
        <f t="shared" si="116"/>
        <v>公共交通の充実</v>
      </c>
      <c r="J208" s="61" t="str">
        <f t="shared" si="116"/>
        <v>学校教育の充実</v>
      </c>
      <c r="K208" s="62" t="str">
        <f t="shared" si="116"/>
        <v>就労支援</v>
      </c>
      <c r="L208" s="63" t="str">
        <f t="shared" si="116"/>
        <v>防犯・交通安全対策</v>
      </c>
      <c r="M208" s="236" t="s">
        <v>32</v>
      </c>
      <c r="N208" s="12" t="str">
        <f>A208</f>
        <v>【職業別】</v>
      </c>
      <c r="O208" s="60" t="str">
        <f t="shared" ref="O208:X208" si="117">C208</f>
        <v>防災対策</v>
      </c>
      <c r="P208" s="61" t="str">
        <f t="shared" si="117"/>
        <v>高齢者福祉</v>
      </c>
      <c r="Q208" s="61" t="str">
        <f t="shared" si="117"/>
        <v>子育て支援</v>
      </c>
      <c r="R208" s="61" t="str">
        <f t="shared" si="117"/>
        <v>地域医療の確保</v>
      </c>
      <c r="S208" s="242" t="str">
        <f t="shared" si="117"/>
        <v>少子化対策</v>
      </c>
      <c r="T208" s="106" t="str">
        <f t="shared" si="117"/>
        <v>若者の県内定着</v>
      </c>
      <c r="U208" s="61" t="str">
        <f t="shared" si="117"/>
        <v>公共交通の充実</v>
      </c>
      <c r="V208" s="61" t="str">
        <f t="shared" si="117"/>
        <v>学校教育の充実</v>
      </c>
      <c r="W208" s="62" t="str">
        <f t="shared" si="117"/>
        <v>就労支援</v>
      </c>
      <c r="X208" s="63" t="str">
        <f t="shared" si="117"/>
        <v>防犯・交通安全対策</v>
      </c>
    </row>
    <row r="209" spans="1:24" ht="12.75" customHeight="1" x14ac:dyDescent="0.2">
      <c r="A209" s="269" t="str">
        <f>'問10-2M（表）'!A209</f>
        <v>全体(n = 1,616 )　　</v>
      </c>
      <c r="B209" s="113">
        <f t="shared" ref="B209:L209" si="118">B186</f>
        <v>1616</v>
      </c>
      <c r="C209" s="121">
        <f t="shared" si="118"/>
        <v>504</v>
      </c>
      <c r="D209" s="122">
        <f t="shared" si="118"/>
        <v>504</v>
      </c>
      <c r="E209" s="122">
        <f t="shared" si="118"/>
        <v>438</v>
      </c>
      <c r="F209" s="122">
        <f t="shared" si="118"/>
        <v>396</v>
      </c>
      <c r="G209" s="122">
        <f t="shared" si="118"/>
        <v>388</v>
      </c>
      <c r="H209" s="122">
        <f t="shared" si="118"/>
        <v>330</v>
      </c>
      <c r="I209" s="123">
        <f t="shared" si="118"/>
        <v>300</v>
      </c>
      <c r="J209" s="122">
        <f t="shared" si="118"/>
        <v>237</v>
      </c>
      <c r="K209" s="123">
        <f t="shared" si="118"/>
        <v>223</v>
      </c>
      <c r="L209" s="124">
        <f t="shared" si="118"/>
        <v>210</v>
      </c>
      <c r="M209" s="23"/>
      <c r="N209" s="93" t="str">
        <f>A211</f>
        <v>自営業(n = 175 )　　</v>
      </c>
      <c r="O209" s="84">
        <f t="shared" ref="O209:X209" si="119">C212</f>
        <v>29.142857142857142</v>
      </c>
      <c r="P209" s="85">
        <f t="shared" si="119"/>
        <v>28.000000000000004</v>
      </c>
      <c r="Q209" s="85">
        <f t="shared" si="119"/>
        <v>22.857142857142858</v>
      </c>
      <c r="R209" s="85">
        <f t="shared" si="119"/>
        <v>20.571428571428569</v>
      </c>
      <c r="S209" s="241">
        <f t="shared" si="119"/>
        <v>24.571428571428573</v>
      </c>
      <c r="T209" s="108">
        <f t="shared" si="119"/>
        <v>21.142857142857142</v>
      </c>
      <c r="U209" s="85">
        <f t="shared" si="119"/>
        <v>14.857142857142858</v>
      </c>
      <c r="V209" s="85">
        <f t="shared" si="119"/>
        <v>13.142857142857142</v>
      </c>
      <c r="W209" s="86">
        <f t="shared" si="119"/>
        <v>9.1428571428571423</v>
      </c>
      <c r="X209" s="87">
        <f t="shared" si="119"/>
        <v>13.142857142857142</v>
      </c>
    </row>
    <row r="210" spans="1:24" ht="12.75" customHeight="1" x14ac:dyDescent="0.2">
      <c r="A210" s="270"/>
      <c r="B210" s="114">
        <f t="shared" ref="B210:L210" si="120">B187</f>
        <v>100</v>
      </c>
      <c r="C210" s="125">
        <f t="shared" si="120"/>
        <v>31.188118811881189</v>
      </c>
      <c r="D210" s="126">
        <f t="shared" si="120"/>
        <v>31.188118811881189</v>
      </c>
      <c r="E210" s="126">
        <f t="shared" si="120"/>
        <v>27.103960396039607</v>
      </c>
      <c r="F210" s="126">
        <f t="shared" si="120"/>
        <v>24.504950495049506</v>
      </c>
      <c r="G210" s="126">
        <f t="shared" si="120"/>
        <v>24.009900990099009</v>
      </c>
      <c r="H210" s="126">
        <f t="shared" si="120"/>
        <v>20.420792079207921</v>
      </c>
      <c r="I210" s="127">
        <f t="shared" si="120"/>
        <v>18.564356435643564</v>
      </c>
      <c r="J210" s="126">
        <f t="shared" si="120"/>
        <v>14.665841584158414</v>
      </c>
      <c r="K210" s="127">
        <f t="shared" si="120"/>
        <v>13.79950495049505</v>
      </c>
      <c r="L210" s="128">
        <f t="shared" si="120"/>
        <v>12.995049504950495</v>
      </c>
      <c r="M210" s="23"/>
      <c r="N210" s="95" t="str">
        <f>A213</f>
        <v>会社・団体役員(n = 171 )　　</v>
      </c>
      <c r="O210" s="88">
        <f t="shared" ref="O210:X210" si="121">C214</f>
        <v>29.239766081871345</v>
      </c>
      <c r="P210" s="89">
        <f t="shared" si="121"/>
        <v>21.052631578947366</v>
      </c>
      <c r="Q210" s="89">
        <f t="shared" si="121"/>
        <v>32.163742690058477</v>
      </c>
      <c r="R210" s="89">
        <f t="shared" si="121"/>
        <v>21.637426900584796</v>
      </c>
      <c r="S210" s="240">
        <f t="shared" si="121"/>
        <v>30.994152046783626</v>
      </c>
      <c r="T210" s="109">
        <f t="shared" si="121"/>
        <v>21.637426900584796</v>
      </c>
      <c r="U210" s="89">
        <f t="shared" si="121"/>
        <v>16.374269005847953</v>
      </c>
      <c r="V210" s="89">
        <f t="shared" si="121"/>
        <v>17.543859649122805</v>
      </c>
      <c r="W210" s="90">
        <f t="shared" si="121"/>
        <v>12.865497076023392</v>
      </c>
      <c r="X210" s="91">
        <f t="shared" si="121"/>
        <v>14.035087719298245</v>
      </c>
    </row>
    <row r="211" spans="1:24" ht="13.5" customHeight="1" x14ac:dyDescent="0.2">
      <c r="A211" s="269" t="str">
        <f>'問10-2M（表）'!A211</f>
        <v>自営業(n = 175 )　　</v>
      </c>
      <c r="B211" s="113">
        <f t="shared" ref="B211:L211" si="122">B188</f>
        <v>175</v>
      </c>
      <c r="C211" s="129">
        <f t="shared" si="122"/>
        <v>51</v>
      </c>
      <c r="D211" s="130">
        <f t="shared" si="122"/>
        <v>49</v>
      </c>
      <c r="E211" s="130">
        <f t="shared" si="122"/>
        <v>40</v>
      </c>
      <c r="F211" s="130">
        <f t="shared" si="122"/>
        <v>36</v>
      </c>
      <c r="G211" s="130">
        <f t="shared" si="122"/>
        <v>43</v>
      </c>
      <c r="H211" s="130">
        <f t="shared" si="122"/>
        <v>37</v>
      </c>
      <c r="I211" s="140">
        <f t="shared" si="122"/>
        <v>26</v>
      </c>
      <c r="J211" s="130">
        <f t="shared" si="122"/>
        <v>23</v>
      </c>
      <c r="K211" s="140">
        <f t="shared" si="122"/>
        <v>16</v>
      </c>
      <c r="L211" s="131">
        <f t="shared" si="122"/>
        <v>23</v>
      </c>
      <c r="M211" s="23"/>
      <c r="N211" s="95" t="str">
        <f>A215</f>
        <v>正規の従業員・職員(n = 423 )　　</v>
      </c>
      <c r="O211" s="88">
        <f t="shared" ref="O211:X211" si="123">C216</f>
        <v>27.895981087470449</v>
      </c>
      <c r="P211" s="89">
        <f t="shared" si="123"/>
        <v>29.550827423167846</v>
      </c>
      <c r="Q211" s="89">
        <f t="shared" si="123"/>
        <v>32.62411347517731</v>
      </c>
      <c r="R211" s="89">
        <f t="shared" si="123"/>
        <v>24.58628841607565</v>
      </c>
      <c r="S211" s="240">
        <f t="shared" si="123"/>
        <v>27.423167848699766</v>
      </c>
      <c r="T211" s="109">
        <f t="shared" si="123"/>
        <v>21.040189125295509</v>
      </c>
      <c r="U211" s="89">
        <f t="shared" si="123"/>
        <v>20.094562647754138</v>
      </c>
      <c r="V211" s="89">
        <f t="shared" si="123"/>
        <v>13.711583924349883</v>
      </c>
      <c r="W211" s="90">
        <f t="shared" si="123"/>
        <v>11.82033096926714</v>
      </c>
      <c r="X211" s="91">
        <f t="shared" si="123"/>
        <v>11.583924349881796</v>
      </c>
    </row>
    <row r="212" spans="1:24" ht="13.5" customHeight="1" x14ac:dyDescent="0.2">
      <c r="A212" s="270"/>
      <c r="B212" s="114">
        <f t="shared" ref="B212:L212" si="124">B189</f>
        <v>10.829207920792079</v>
      </c>
      <c r="C212" s="125">
        <f t="shared" si="124"/>
        <v>29.142857142857142</v>
      </c>
      <c r="D212" s="126">
        <f t="shared" si="124"/>
        <v>28.000000000000004</v>
      </c>
      <c r="E212" s="126">
        <f t="shared" si="124"/>
        <v>22.857142857142858</v>
      </c>
      <c r="F212" s="126">
        <f t="shared" si="124"/>
        <v>20.571428571428569</v>
      </c>
      <c r="G212" s="126">
        <f t="shared" si="124"/>
        <v>24.571428571428573</v>
      </c>
      <c r="H212" s="126">
        <f t="shared" si="124"/>
        <v>21.142857142857142</v>
      </c>
      <c r="I212" s="127">
        <f t="shared" si="124"/>
        <v>14.857142857142858</v>
      </c>
      <c r="J212" s="126">
        <f t="shared" si="124"/>
        <v>13.142857142857142</v>
      </c>
      <c r="K212" s="127">
        <f t="shared" si="124"/>
        <v>9.1428571428571423</v>
      </c>
      <c r="L212" s="128">
        <f t="shared" si="124"/>
        <v>13.142857142857142</v>
      </c>
      <c r="M212" s="23"/>
      <c r="N212" s="95" t="str">
        <f>A217</f>
        <v>パートタイム・アルバイト・派遣(n = 346 )　　</v>
      </c>
      <c r="O212" s="88">
        <f t="shared" ref="O212:X212" si="125">C218</f>
        <v>31.213872832369944</v>
      </c>
      <c r="P212" s="89">
        <f t="shared" si="125"/>
        <v>34.393063583815028</v>
      </c>
      <c r="Q212" s="89">
        <f t="shared" si="125"/>
        <v>30.924855491329478</v>
      </c>
      <c r="R212" s="89">
        <f t="shared" si="125"/>
        <v>28.612716763005778</v>
      </c>
      <c r="S212" s="240">
        <f t="shared" si="125"/>
        <v>22.254335260115607</v>
      </c>
      <c r="T212" s="109">
        <f t="shared" si="125"/>
        <v>18.497109826589593</v>
      </c>
      <c r="U212" s="89">
        <f t="shared" si="125"/>
        <v>20.520231213872833</v>
      </c>
      <c r="V212" s="89">
        <f t="shared" si="125"/>
        <v>15.895953757225435</v>
      </c>
      <c r="W212" s="90">
        <f t="shared" si="125"/>
        <v>20.23121387283237</v>
      </c>
      <c r="X212" s="91">
        <f t="shared" si="125"/>
        <v>10.982658959537572</v>
      </c>
    </row>
    <row r="213" spans="1:24" ht="13.5" customHeight="1" x14ac:dyDescent="0.2">
      <c r="A213" s="269" t="str">
        <f>'問10-2M（表）'!A213</f>
        <v>会社・団体役員(n = 171 )　　</v>
      </c>
      <c r="B213" s="113">
        <f t="shared" ref="B213:L213" si="126">B192</f>
        <v>171</v>
      </c>
      <c r="C213" s="129">
        <f t="shared" si="126"/>
        <v>50</v>
      </c>
      <c r="D213" s="130">
        <f t="shared" si="126"/>
        <v>36</v>
      </c>
      <c r="E213" s="130">
        <f t="shared" si="126"/>
        <v>55</v>
      </c>
      <c r="F213" s="130">
        <f t="shared" si="126"/>
        <v>37</v>
      </c>
      <c r="G213" s="130">
        <f t="shared" si="126"/>
        <v>53</v>
      </c>
      <c r="H213" s="130">
        <f t="shared" si="126"/>
        <v>37</v>
      </c>
      <c r="I213" s="140">
        <f t="shared" si="126"/>
        <v>28</v>
      </c>
      <c r="J213" s="130">
        <f t="shared" si="126"/>
        <v>30</v>
      </c>
      <c r="K213" s="140">
        <f t="shared" si="126"/>
        <v>22</v>
      </c>
      <c r="L213" s="131">
        <f t="shared" si="126"/>
        <v>24</v>
      </c>
      <c r="N213" s="95" t="str">
        <f>A219</f>
        <v>家事従事(n = 150 )　　</v>
      </c>
      <c r="O213" s="88">
        <f t="shared" ref="O213:X213" si="127">C220</f>
        <v>39.333333333333329</v>
      </c>
      <c r="P213" s="89">
        <f t="shared" si="127"/>
        <v>34.666666666666671</v>
      </c>
      <c r="Q213" s="89">
        <f t="shared" si="127"/>
        <v>25.333333333333336</v>
      </c>
      <c r="R213" s="89">
        <f t="shared" si="127"/>
        <v>24</v>
      </c>
      <c r="S213" s="240">
        <f t="shared" si="127"/>
        <v>22</v>
      </c>
      <c r="T213" s="109">
        <f t="shared" si="127"/>
        <v>23.333333333333332</v>
      </c>
      <c r="U213" s="89">
        <f t="shared" si="127"/>
        <v>16</v>
      </c>
      <c r="V213" s="89">
        <f t="shared" si="127"/>
        <v>18.666666666666668</v>
      </c>
      <c r="W213" s="90">
        <f t="shared" si="127"/>
        <v>11.333333333333332</v>
      </c>
      <c r="X213" s="91">
        <f t="shared" si="127"/>
        <v>11.333333333333332</v>
      </c>
    </row>
    <row r="214" spans="1:24" ht="13.5" customHeight="1" x14ac:dyDescent="0.2">
      <c r="A214" s="270"/>
      <c r="B214" s="114">
        <f t="shared" ref="B214:L214" si="128">B193</f>
        <v>10.581683168316831</v>
      </c>
      <c r="C214" s="125">
        <f t="shared" si="128"/>
        <v>29.239766081871345</v>
      </c>
      <c r="D214" s="126">
        <f t="shared" si="128"/>
        <v>21.052631578947366</v>
      </c>
      <c r="E214" s="126">
        <f t="shared" si="128"/>
        <v>32.163742690058477</v>
      </c>
      <c r="F214" s="126">
        <f t="shared" si="128"/>
        <v>21.637426900584796</v>
      </c>
      <c r="G214" s="126">
        <f t="shared" si="128"/>
        <v>30.994152046783626</v>
      </c>
      <c r="H214" s="126">
        <f t="shared" si="128"/>
        <v>21.637426900584796</v>
      </c>
      <c r="I214" s="127">
        <f t="shared" si="128"/>
        <v>16.374269005847953</v>
      </c>
      <c r="J214" s="126">
        <f t="shared" si="128"/>
        <v>17.543859649122805</v>
      </c>
      <c r="K214" s="127">
        <f t="shared" si="128"/>
        <v>12.865497076023392</v>
      </c>
      <c r="L214" s="128">
        <f t="shared" si="128"/>
        <v>14.035087719298245</v>
      </c>
      <c r="N214" s="95" t="str">
        <f>A221</f>
        <v>無職(n = 263 )　　</v>
      </c>
      <c r="O214" s="88">
        <f t="shared" ref="O214:X214" si="129">C222</f>
        <v>34.22053231939163</v>
      </c>
      <c r="P214" s="89">
        <f t="shared" si="129"/>
        <v>41.064638783269963</v>
      </c>
      <c r="Q214" s="89">
        <f t="shared" si="129"/>
        <v>13.688212927756654</v>
      </c>
      <c r="R214" s="89">
        <f t="shared" si="129"/>
        <v>26.235741444866921</v>
      </c>
      <c r="S214" s="240">
        <f t="shared" si="129"/>
        <v>19.011406844106464</v>
      </c>
      <c r="T214" s="109">
        <f t="shared" si="129"/>
        <v>19.011406844106464</v>
      </c>
      <c r="U214" s="89">
        <f t="shared" si="129"/>
        <v>18.631178707224336</v>
      </c>
      <c r="V214" s="89">
        <f t="shared" si="129"/>
        <v>11.787072243346007</v>
      </c>
      <c r="W214" s="90">
        <f t="shared" si="129"/>
        <v>10.646387832699618</v>
      </c>
      <c r="X214" s="91">
        <f t="shared" si="129"/>
        <v>17.490494296577946</v>
      </c>
    </row>
    <row r="215" spans="1:24" ht="13.5" customHeight="1" x14ac:dyDescent="0.2">
      <c r="A215" s="269" t="str">
        <f>'問10-2M（表）'!A215</f>
        <v>正規の従業員・職員(n = 423 )　　</v>
      </c>
      <c r="B215" s="113">
        <f t="shared" ref="B215:L215" si="130">B194</f>
        <v>423</v>
      </c>
      <c r="C215" s="129">
        <f t="shared" si="130"/>
        <v>118</v>
      </c>
      <c r="D215" s="130">
        <f t="shared" si="130"/>
        <v>125</v>
      </c>
      <c r="E215" s="130">
        <f t="shared" si="130"/>
        <v>138</v>
      </c>
      <c r="F215" s="130">
        <f t="shared" si="130"/>
        <v>104</v>
      </c>
      <c r="G215" s="130">
        <f t="shared" si="130"/>
        <v>116</v>
      </c>
      <c r="H215" s="130">
        <f t="shared" si="130"/>
        <v>89</v>
      </c>
      <c r="I215" s="140">
        <f t="shared" si="130"/>
        <v>85</v>
      </c>
      <c r="J215" s="130">
        <f t="shared" si="130"/>
        <v>58</v>
      </c>
      <c r="K215" s="140">
        <f t="shared" si="130"/>
        <v>50</v>
      </c>
      <c r="L215" s="131">
        <f t="shared" si="130"/>
        <v>49</v>
      </c>
      <c r="N215" s="94" t="str">
        <f>A223</f>
        <v>その他(n = 74 )　　</v>
      </c>
      <c r="O215" s="78">
        <f t="shared" ref="O215:X215" si="131">C224</f>
        <v>28.378378378378379</v>
      </c>
      <c r="P215" s="79">
        <f t="shared" si="131"/>
        <v>14.864864864864865</v>
      </c>
      <c r="Q215" s="79">
        <f t="shared" si="131"/>
        <v>32.432432432432435</v>
      </c>
      <c r="R215" s="79">
        <f t="shared" si="131"/>
        <v>16.216216216216218</v>
      </c>
      <c r="S215" s="239">
        <f t="shared" si="131"/>
        <v>20.27027027027027</v>
      </c>
      <c r="T215" s="107">
        <f t="shared" si="131"/>
        <v>22.972972972972975</v>
      </c>
      <c r="U215" s="79">
        <f t="shared" si="131"/>
        <v>20.27027027027027</v>
      </c>
      <c r="V215" s="79">
        <f t="shared" si="131"/>
        <v>16.216216216216218</v>
      </c>
      <c r="W215" s="80">
        <f t="shared" si="131"/>
        <v>22.972972972972975</v>
      </c>
      <c r="X215" s="81">
        <f t="shared" si="131"/>
        <v>10.810810810810811</v>
      </c>
    </row>
    <row r="216" spans="1:24" ht="13.5" customHeight="1" x14ac:dyDescent="0.2">
      <c r="A216" s="270"/>
      <c r="B216" s="114">
        <f t="shared" ref="B216:L216" si="132">B195</f>
        <v>26.175742574257427</v>
      </c>
      <c r="C216" s="125">
        <f t="shared" si="132"/>
        <v>27.895981087470449</v>
      </c>
      <c r="D216" s="126">
        <f t="shared" si="132"/>
        <v>29.550827423167846</v>
      </c>
      <c r="E216" s="126">
        <f t="shared" si="132"/>
        <v>32.62411347517731</v>
      </c>
      <c r="F216" s="126">
        <f t="shared" si="132"/>
        <v>24.58628841607565</v>
      </c>
      <c r="G216" s="126">
        <f t="shared" si="132"/>
        <v>27.423167848699766</v>
      </c>
      <c r="H216" s="126">
        <f t="shared" si="132"/>
        <v>21.040189125295509</v>
      </c>
      <c r="I216" s="127">
        <f t="shared" si="132"/>
        <v>20.094562647754138</v>
      </c>
      <c r="J216" s="126">
        <f t="shared" si="132"/>
        <v>13.711583924349883</v>
      </c>
      <c r="K216" s="127">
        <f t="shared" si="132"/>
        <v>11.82033096926714</v>
      </c>
      <c r="L216" s="128">
        <f t="shared" si="132"/>
        <v>11.583924349881796</v>
      </c>
    </row>
    <row r="217" spans="1:24" ht="13.5" customHeight="1" x14ac:dyDescent="0.2">
      <c r="A217" s="269" t="str">
        <f>'問10-2M（表）'!A217</f>
        <v>パートタイム・アルバイト・派遣(n = 346 )　　</v>
      </c>
      <c r="B217" s="113">
        <f t="shared" ref="B217:L217" si="133">B196</f>
        <v>346</v>
      </c>
      <c r="C217" s="129">
        <f t="shared" si="133"/>
        <v>108</v>
      </c>
      <c r="D217" s="130">
        <f t="shared" si="133"/>
        <v>119</v>
      </c>
      <c r="E217" s="130">
        <f t="shared" si="133"/>
        <v>107</v>
      </c>
      <c r="F217" s="130">
        <f t="shared" si="133"/>
        <v>99</v>
      </c>
      <c r="G217" s="130">
        <f t="shared" si="133"/>
        <v>77</v>
      </c>
      <c r="H217" s="130">
        <f t="shared" si="133"/>
        <v>64</v>
      </c>
      <c r="I217" s="140">
        <f t="shared" si="133"/>
        <v>71</v>
      </c>
      <c r="J217" s="130">
        <f t="shared" si="133"/>
        <v>55</v>
      </c>
      <c r="K217" s="140">
        <f t="shared" si="133"/>
        <v>70</v>
      </c>
      <c r="L217" s="131">
        <f t="shared" si="133"/>
        <v>38</v>
      </c>
    </row>
    <row r="218" spans="1:24" ht="13.5" customHeight="1" x14ac:dyDescent="0.2">
      <c r="A218" s="270"/>
      <c r="B218" s="114">
        <f t="shared" ref="B218:L218" si="134">B197</f>
        <v>21.410891089108912</v>
      </c>
      <c r="C218" s="125">
        <f t="shared" si="134"/>
        <v>31.213872832369944</v>
      </c>
      <c r="D218" s="126">
        <f t="shared" si="134"/>
        <v>34.393063583815028</v>
      </c>
      <c r="E218" s="126">
        <f t="shared" si="134"/>
        <v>30.924855491329478</v>
      </c>
      <c r="F218" s="126">
        <f t="shared" si="134"/>
        <v>28.612716763005778</v>
      </c>
      <c r="G218" s="126">
        <f t="shared" si="134"/>
        <v>22.254335260115607</v>
      </c>
      <c r="H218" s="126">
        <f t="shared" si="134"/>
        <v>18.497109826589593</v>
      </c>
      <c r="I218" s="127">
        <f t="shared" si="134"/>
        <v>20.520231213872833</v>
      </c>
      <c r="J218" s="126">
        <f t="shared" si="134"/>
        <v>15.895953757225435</v>
      </c>
      <c r="K218" s="127">
        <f t="shared" si="134"/>
        <v>20.23121387283237</v>
      </c>
      <c r="L218" s="128">
        <f t="shared" si="134"/>
        <v>10.982658959537572</v>
      </c>
    </row>
    <row r="219" spans="1:24" ht="13.5" customHeight="1" x14ac:dyDescent="0.2">
      <c r="A219" s="269" t="str">
        <f>'問10-2M（表）'!A219</f>
        <v>家事従事(n = 150 )　　</v>
      </c>
      <c r="B219" s="113">
        <f t="shared" ref="B219:L219" si="135">B200</f>
        <v>150</v>
      </c>
      <c r="C219" s="129">
        <f t="shared" si="135"/>
        <v>59</v>
      </c>
      <c r="D219" s="130">
        <f t="shared" si="135"/>
        <v>52</v>
      </c>
      <c r="E219" s="130">
        <f t="shared" si="135"/>
        <v>38</v>
      </c>
      <c r="F219" s="130">
        <f t="shared" si="135"/>
        <v>36</v>
      </c>
      <c r="G219" s="130">
        <f t="shared" si="135"/>
        <v>33</v>
      </c>
      <c r="H219" s="130">
        <f t="shared" si="135"/>
        <v>35</v>
      </c>
      <c r="I219" s="140">
        <f t="shared" si="135"/>
        <v>24</v>
      </c>
      <c r="J219" s="130">
        <f t="shared" si="135"/>
        <v>28</v>
      </c>
      <c r="K219" s="140">
        <f t="shared" si="135"/>
        <v>17</v>
      </c>
      <c r="L219" s="131">
        <f t="shared" si="135"/>
        <v>17</v>
      </c>
    </row>
    <row r="220" spans="1:24" ht="13.5" customHeight="1" x14ac:dyDescent="0.2">
      <c r="A220" s="270"/>
      <c r="B220" s="114">
        <f t="shared" ref="B220:L220" si="136">B201</f>
        <v>9.282178217821782</v>
      </c>
      <c r="C220" s="125">
        <f t="shared" si="136"/>
        <v>39.333333333333329</v>
      </c>
      <c r="D220" s="126">
        <f t="shared" si="136"/>
        <v>34.666666666666671</v>
      </c>
      <c r="E220" s="126">
        <f t="shared" si="136"/>
        <v>25.333333333333336</v>
      </c>
      <c r="F220" s="126">
        <f t="shared" si="136"/>
        <v>24</v>
      </c>
      <c r="G220" s="126">
        <f t="shared" si="136"/>
        <v>22</v>
      </c>
      <c r="H220" s="126">
        <f t="shared" si="136"/>
        <v>23.333333333333332</v>
      </c>
      <c r="I220" s="127">
        <f t="shared" si="136"/>
        <v>16</v>
      </c>
      <c r="J220" s="126">
        <f t="shared" si="136"/>
        <v>18.666666666666668</v>
      </c>
      <c r="K220" s="127">
        <f t="shared" si="136"/>
        <v>11.333333333333332</v>
      </c>
      <c r="L220" s="128">
        <f t="shared" si="136"/>
        <v>11.333333333333332</v>
      </c>
    </row>
    <row r="221" spans="1:24" ht="13.5" customHeight="1" x14ac:dyDescent="0.2">
      <c r="A221" s="269" t="str">
        <f>'問10-2M（表）'!A221</f>
        <v>無職(n = 263 )　　</v>
      </c>
      <c r="B221" s="113">
        <f t="shared" ref="B221:L221" si="137">B202</f>
        <v>263</v>
      </c>
      <c r="C221" s="129">
        <f t="shared" si="137"/>
        <v>90</v>
      </c>
      <c r="D221" s="130">
        <f t="shared" si="137"/>
        <v>108</v>
      </c>
      <c r="E221" s="130">
        <f t="shared" si="137"/>
        <v>36</v>
      </c>
      <c r="F221" s="130">
        <f t="shared" si="137"/>
        <v>69</v>
      </c>
      <c r="G221" s="130">
        <f t="shared" si="137"/>
        <v>50</v>
      </c>
      <c r="H221" s="130">
        <f t="shared" si="137"/>
        <v>50</v>
      </c>
      <c r="I221" s="140">
        <f t="shared" si="137"/>
        <v>49</v>
      </c>
      <c r="J221" s="130">
        <f t="shared" si="137"/>
        <v>31</v>
      </c>
      <c r="K221" s="140">
        <f t="shared" si="137"/>
        <v>28</v>
      </c>
      <c r="L221" s="131">
        <f t="shared" si="137"/>
        <v>46</v>
      </c>
    </row>
    <row r="222" spans="1:24" x14ac:dyDescent="0.2">
      <c r="A222" s="270"/>
      <c r="B222" s="114">
        <f t="shared" ref="B222:L222" si="138">B203</f>
        <v>16.274752475247524</v>
      </c>
      <c r="C222" s="125">
        <f t="shared" si="138"/>
        <v>34.22053231939163</v>
      </c>
      <c r="D222" s="126">
        <f t="shared" si="138"/>
        <v>41.064638783269963</v>
      </c>
      <c r="E222" s="126">
        <f t="shared" si="138"/>
        <v>13.688212927756654</v>
      </c>
      <c r="F222" s="126">
        <f t="shared" si="138"/>
        <v>26.235741444866921</v>
      </c>
      <c r="G222" s="126">
        <f t="shared" si="138"/>
        <v>19.011406844106464</v>
      </c>
      <c r="H222" s="126">
        <f t="shared" si="138"/>
        <v>19.011406844106464</v>
      </c>
      <c r="I222" s="127">
        <f t="shared" si="138"/>
        <v>18.631178707224336</v>
      </c>
      <c r="J222" s="126">
        <f t="shared" si="138"/>
        <v>11.787072243346007</v>
      </c>
      <c r="K222" s="127">
        <f t="shared" si="138"/>
        <v>10.646387832699618</v>
      </c>
      <c r="L222" s="128">
        <f t="shared" si="138"/>
        <v>17.490494296577946</v>
      </c>
    </row>
    <row r="223" spans="1:24" x14ac:dyDescent="0.2">
      <c r="A223" s="269" t="str">
        <f>'問10-2M（表）'!A223</f>
        <v>その他(n = 74 )　　</v>
      </c>
      <c r="B223" s="113">
        <f t="shared" ref="B223:L223" si="139">B190+B198+B204</f>
        <v>74</v>
      </c>
      <c r="C223" s="129">
        <f t="shared" si="139"/>
        <v>21</v>
      </c>
      <c r="D223" s="130">
        <f t="shared" si="139"/>
        <v>11</v>
      </c>
      <c r="E223" s="130">
        <f t="shared" si="139"/>
        <v>24</v>
      </c>
      <c r="F223" s="130">
        <f t="shared" si="139"/>
        <v>12</v>
      </c>
      <c r="G223" s="130">
        <f t="shared" si="139"/>
        <v>15</v>
      </c>
      <c r="H223" s="130">
        <f t="shared" si="139"/>
        <v>17</v>
      </c>
      <c r="I223" s="140">
        <f t="shared" si="139"/>
        <v>15</v>
      </c>
      <c r="J223" s="130">
        <f t="shared" si="139"/>
        <v>12</v>
      </c>
      <c r="K223" s="140">
        <f t="shared" si="139"/>
        <v>17</v>
      </c>
      <c r="L223" s="131">
        <f t="shared" si="139"/>
        <v>8</v>
      </c>
    </row>
    <row r="224" spans="1:24" x14ac:dyDescent="0.2">
      <c r="A224" s="270"/>
      <c r="B224" s="114">
        <v>100</v>
      </c>
      <c r="C224" s="125">
        <f t="shared" ref="C224:L224" si="140">(C223/$B$223)*100</f>
        <v>28.378378378378379</v>
      </c>
      <c r="D224" s="126">
        <f t="shared" si="140"/>
        <v>14.864864864864865</v>
      </c>
      <c r="E224" s="126">
        <f t="shared" si="140"/>
        <v>32.432432432432435</v>
      </c>
      <c r="F224" s="126">
        <f t="shared" si="140"/>
        <v>16.216216216216218</v>
      </c>
      <c r="G224" s="126">
        <f t="shared" si="140"/>
        <v>20.27027027027027</v>
      </c>
      <c r="H224" s="126">
        <f t="shared" si="140"/>
        <v>22.972972972972975</v>
      </c>
      <c r="I224" s="127">
        <f t="shared" si="140"/>
        <v>20.27027027027027</v>
      </c>
      <c r="J224" s="126">
        <f t="shared" si="140"/>
        <v>16.216216216216218</v>
      </c>
      <c r="K224" s="127">
        <f t="shared" si="140"/>
        <v>22.972972972972975</v>
      </c>
      <c r="L224" s="128">
        <f t="shared" si="140"/>
        <v>10.810810810810811</v>
      </c>
    </row>
  </sheetData>
  <mergeCells count="89">
    <mergeCell ref="A42:A43"/>
    <mergeCell ref="A44:A45"/>
    <mergeCell ref="A46:A47"/>
    <mergeCell ref="A52:A53"/>
    <mergeCell ref="A3:A4"/>
    <mergeCell ref="A5:A6"/>
    <mergeCell ref="A7:A8"/>
    <mergeCell ref="A13:A14"/>
    <mergeCell ref="A15:A16"/>
    <mergeCell ref="A17:A18"/>
    <mergeCell ref="A23:A24"/>
    <mergeCell ref="A25:A26"/>
    <mergeCell ref="A27:A28"/>
    <mergeCell ref="A32:A33"/>
    <mergeCell ref="A34:A35"/>
    <mergeCell ref="A36:A37"/>
    <mergeCell ref="A38:A39"/>
    <mergeCell ref="A40:A41"/>
    <mergeCell ref="A86:A87"/>
    <mergeCell ref="A91:A92"/>
    <mergeCell ref="A93:A94"/>
    <mergeCell ref="A95:A96"/>
    <mergeCell ref="A54:A55"/>
    <mergeCell ref="A56:A57"/>
    <mergeCell ref="A58:A59"/>
    <mergeCell ref="A60:A61"/>
    <mergeCell ref="A62:A63"/>
    <mergeCell ref="A64:A65"/>
    <mergeCell ref="A66:A67"/>
    <mergeCell ref="A72:A73"/>
    <mergeCell ref="A74:A75"/>
    <mergeCell ref="A76:A77"/>
    <mergeCell ref="A78:A79"/>
    <mergeCell ref="A80:A81"/>
    <mergeCell ref="A82:A83"/>
    <mergeCell ref="A84:A85"/>
    <mergeCell ref="A133:A134"/>
    <mergeCell ref="A138:A139"/>
    <mergeCell ref="A140:A141"/>
    <mergeCell ref="A142:A143"/>
    <mergeCell ref="A97:A98"/>
    <mergeCell ref="A99:A100"/>
    <mergeCell ref="A101:A102"/>
    <mergeCell ref="A107:A108"/>
    <mergeCell ref="A109:A110"/>
    <mergeCell ref="A111:A112"/>
    <mergeCell ref="A113:A114"/>
    <mergeCell ref="A115:A116"/>
    <mergeCell ref="A117:A118"/>
    <mergeCell ref="A123:A124"/>
    <mergeCell ref="A125:A126"/>
    <mergeCell ref="A127:A128"/>
    <mergeCell ref="A129:A130"/>
    <mergeCell ref="A131:A132"/>
    <mergeCell ref="A176:A177"/>
    <mergeCell ref="A178:A179"/>
    <mergeCell ref="A180:A181"/>
    <mergeCell ref="A186:A187"/>
    <mergeCell ref="A144:A145"/>
    <mergeCell ref="A146:A147"/>
    <mergeCell ref="A148:A149"/>
    <mergeCell ref="A150:A151"/>
    <mergeCell ref="A152:A153"/>
    <mergeCell ref="A154:A155"/>
    <mergeCell ref="A156:A157"/>
    <mergeCell ref="A162:A163"/>
    <mergeCell ref="A164:A165"/>
    <mergeCell ref="A166:A167"/>
    <mergeCell ref="A168:A169"/>
    <mergeCell ref="A170:A171"/>
    <mergeCell ref="A172:A173"/>
    <mergeCell ref="A174:A175"/>
    <mergeCell ref="A219:A220"/>
    <mergeCell ref="A221:A222"/>
    <mergeCell ref="A223:A224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9:A210"/>
    <mergeCell ref="A211:A212"/>
    <mergeCell ref="A213:A214"/>
    <mergeCell ref="A215:A216"/>
    <mergeCell ref="A217:A21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155"/>
  <sheetViews>
    <sheetView zoomScaleNormal="100" workbookViewId="0"/>
  </sheetViews>
  <sheetFormatPr defaultRowHeight="13.2" x14ac:dyDescent="0.2"/>
  <cols>
    <col min="12" max="12" width="9" customWidth="1"/>
  </cols>
  <sheetData>
    <row r="1" spans="1:21" x14ac:dyDescent="0.2">
      <c r="A1" s="3" t="s">
        <v>149</v>
      </c>
      <c r="B1" s="1" t="s">
        <v>110</v>
      </c>
      <c r="C1" s="8"/>
      <c r="D1" s="92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21" ht="86.4" x14ac:dyDescent="0.2">
      <c r="A2" s="12" t="s">
        <v>20</v>
      </c>
      <c r="B2" s="59" t="s">
        <v>3</v>
      </c>
      <c r="C2" s="60" t="s">
        <v>111</v>
      </c>
      <c r="D2" s="61" t="s">
        <v>112</v>
      </c>
      <c r="E2" s="61" t="s">
        <v>113</v>
      </c>
      <c r="F2" s="61" t="s">
        <v>114</v>
      </c>
      <c r="G2" s="61" t="s">
        <v>115</v>
      </c>
      <c r="H2" s="61" t="s">
        <v>116</v>
      </c>
      <c r="I2" s="61" t="s">
        <v>101</v>
      </c>
      <c r="J2" s="61" t="s">
        <v>23</v>
      </c>
      <c r="K2" s="63" t="s">
        <v>0</v>
      </c>
      <c r="L2" s="5" t="s">
        <v>117</v>
      </c>
      <c r="M2" s="202" t="s">
        <v>242</v>
      </c>
    </row>
    <row r="3" spans="1:21" ht="13.5" customHeight="1" x14ac:dyDescent="0.2">
      <c r="A3" s="273" t="str">
        <f>"全体(n = "&amp;B3&amp;" )　　"</f>
        <v>全体(n = 808 )　　</v>
      </c>
      <c r="B3" s="34">
        <v>808</v>
      </c>
      <c r="C3" s="31">
        <f t="shared" ref="C3:J3" si="0">SUM(C5,C7)</f>
        <v>529</v>
      </c>
      <c r="D3" s="32">
        <f t="shared" si="0"/>
        <v>721</v>
      </c>
      <c r="E3" s="32">
        <f t="shared" si="0"/>
        <v>222</v>
      </c>
      <c r="F3" s="32">
        <f t="shared" si="0"/>
        <v>97</v>
      </c>
      <c r="G3" s="32">
        <f t="shared" si="0"/>
        <v>186</v>
      </c>
      <c r="H3" s="32">
        <f t="shared" si="0"/>
        <v>121</v>
      </c>
      <c r="I3" s="32">
        <f t="shared" si="0"/>
        <v>39</v>
      </c>
      <c r="J3" s="32">
        <f t="shared" si="0"/>
        <v>2</v>
      </c>
      <c r="K3" s="33"/>
      <c r="L3" s="5">
        <f>SUM($C3:K3)</f>
        <v>1917</v>
      </c>
      <c r="M3" s="166">
        <f>SUM(M5,M7)</f>
        <v>808</v>
      </c>
    </row>
    <row r="4" spans="1:21" x14ac:dyDescent="0.2">
      <c r="A4" s="274"/>
      <c r="B4" s="193"/>
      <c r="C4" s="20">
        <f t="shared" ref="C4:J4" si="1">C3/$B3*100</f>
        <v>65.470297029702976</v>
      </c>
      <c r="D4" s="207">
        <f t="shared" si="1"/>
        <v>89.232673267326732</v>
      </c>
      <c r="E4" s="207">
        <f t="shared" si="1"/>
        <v>27.475247524752476</v>
      </c>
      <c r="F4" s="207">
        <f t="shared" si="1"/>
        <v>12.004950495049505</v>
      </c>
      <c r="G4" s="207">
        <f t="shared" si="1"/>
        <v>23.019801980198022</v>
      </c>
      <c r="H4" s="207">
        <f t="shared" si="1"/>
        <v>14.975247524752474</v>
      </c>
      <c r="I4" s="207">
        <f t="shared" si="1"/>
        <v>4.826732673267327</v>
      </c>
      <c r="J4" s="207">
        <f t="shared" si="1"/>
        <v>0.24752475247524752</v>
      </c>
      <c r="K4" s="208"/>
      <c r="L4" s="5"/>
    </row>
    <row r="5" spans="1:21" ht="13.5" customHeight="1" x14ac:dyDescent="0.2">
      <c r="A5" s="273" t="str">
        <f>'問1S（表）'!A32</f>
        <v>男性(n = 705 )　　</v>
      </c>
      <c r="B5" s="34">
        <v>367</v>
      </c>
      <c r="C5" s="28">
        <v>248</v>
      </c>
      <c r="D5" s="29">
        <v>314</v>
      </c>
      <c r="E5" s="29">
        <v>104</v>
      </c>
      <c r="F5" s="29">
        <v>40</v>
      </c>
      <c r="G5" s="29">
        <v>90</v>
      </c>
      <c r="H5" s="29">
        <v>61</v>
      </c>
      <c r="I5" s="29">
        <v>14</v>
      </c>
      <c r="J5" s="29">
        <v>1</v>
      </c>
      <c r="K5" s="30"/>
      <c r="L5" s="5">
        <f>SUM($C5:K5)</f>
        <v>872</v>
      </c>
      <c r="M5" s="201">
        <f>B5</f>
        <v>367</v>
      </c>
      <c r="N5" t="str">
        <f>" 男性（N = "&amp;L5&amp;" : n = "&amp;M5&amp;"）"</f>
        <v xml:space="preserve"> 男性（N = 872 : n = 367）</v>
      </c>
    </row>
    <row r="6" spans="1:21" x14ac:dyDescent="0.2">
      <c r="A6" s="274"/>
      <c r="B6" s="20">
        <f>B5/$B$3*100</f>
        <v>45.420792079207921</v>
      </c>
      <c r="C6" s="20">
        <f>C5/$B5*100</f>
        <v>67.574931880108991</v>
      </c>
      <c r="D6" s="207">
        <f t="shared" ref="D6:J6" si="2">D5/$B5*100</f>
        <v>85.558583106267022</v>
      </c>
      <c r="E6" s="207">
        <f t="shared" si="2"/>
        <v>28.337874659400548</v>
      </c>
      <c r="F6" s="207">
        <f t="shared" si="2"/>
        <v>10.899182561307901</v>
      </c>
      <c r="G6" s="207">
        <f t="shared" si="2"/>
        <v>24.52316076294278</v>
      </c>
      <c r="H6" s="207">
        <f t="shared" si="2"/>
        <v>16.621253405994551</v>
      </c>
      <c r="I6" s="207">
        <f t="shared" si="2"/>
        <v>3.8147138964577656</v>
      </c>
      <c r="J6" s="207">
        <f t="shared" si="2"/>
        <v>0.27247956403269752</v>
      </c>
      <c r="K6" s="208"/>
      <c r="L6" s="5"/>
    </row>
    <row r="7" spans="1:21" ht="13.5" customHeight="1" x14ac:dyDescent="0.2">
      <c r="A7" s="273" t="str">
        <f>'問1S（表）'!A34</f>
        <v>女性(n = 901 )　　</v>
      </c>
      <c r="B7" s="34">
        <v>441</v>
      </c>
      <c r="C7" s="28">
        <v>281</v>
      </c>
      <c r="D7" s="29">
        <v>407</v>
      </c>
      <c r="E7" s="29">
        <v>118</v>
      </c>
      <c r="F7" s="29">
        <v>57</v>
      </c>
      <c r="G7" s="29">
        <v>96</v>
      </c>
      <c r="H7" s="29">
        <v>60</v>
      </c>
      <c r="I7" s="29">
        <v>25</v>
      </c>
      <c r="J7" s="29">
        <v>1</v>
      </c>
      <c r="K7" s="30"/>
      <c r="L7" s="5">
        <f>SUM($C7:K7)</f>
        <v>1045</v>
      </c>
      <c r="M7" s="201">
        <f>B7</f>
        <v>441</v>
      </c>
      <c r="N7" t="str">
        <f>" 女性（N = "&amp;L8&amp;" : n = "&amp;M7&amp;"）"</f>
        <v xml:space="preserve"> 女性（N = 1,045 : n = 441）</v>
      </c>
    </row>
    <row r="8" spans="1:21" x14ac:dyDescent="0.2">
      <c r="A8" s="274"/>
      <c r="B8" s="20">
        <f>B7/$B$3*100</f>
        <v>54.579207920792086</v>
      </c>
      <c r="C8" s="20">
        <f t="shared" ref="C8:J8" si="3">C7/$B7*100</f>
        <v>63.718820861678005</v>
      </c>
      <c r="D8" s="207">
        <f t="shared" si="3"/>
        <v>92.290249433106581</v>
      </c>
      <c r="E8" s="207">
        <f t="shared" si="3"/>
        <v>26.75736961451247</v>
      </c>
      <c r="F8" s="207">
        <f t="shared" si="3"/>
        <v>12.925170068027212</v>
      </c>
      <c r="G8" s="207">
        <f t="shared" si="3"/>
        <v>21.768707482993197</v>
      </c>
      <c r="H8" s="207">
        <f t="shared" si="3"/>
        <v>13.605442176870749</v>
      </c>
      <c r="I8" s="207">
        <f t="shared" si="3"/>
        <v>5.6689342403628125</v>
      </c>
      <c r="J8" s="207">
        <f t="shared" si="3"/>
        <v>0.22675736961451248</v>
      </c>
      <c r="K8" s="208"/>
      <c r="L8" s="222" t="s">
        <v>280</v>
      </c>
    </row>
    <row r="9" spans="1:21" s="173" customFormat="1" x14ac:dyDescent="0.2">
      <c r="A9" s="171"/>
      <c r="B9" s="172"/>
      <c r="C9" s="172">
        <f>_xlfn.RANK.EQ(C4,$C$4:$K$4,0)</f>
        <v>2</v>
      </c>
      <c r="D9" s="172">
        <f t="shared" ref="D9:K9" si="4">_xlfn.RANK.EQ(D4,$C$4:$K$4,0)</f>
        <v>1</v>
      </c>
      <c r="E9" s="172">
        <f t="shared" si="4"/>
        <v>3</v>
      </c>
      <c r="F9" s="172">
        <f t="shared" si="4"/>
        <v>6</v>
      </c>
      <c r="G9" s="172">
        <f t="shared" si="4"/>
        <v>4</v>
      </c>
      <c r="H9" s="172">
        <f t="shared" si="4"/>
        <v>5</v>
      </c>
      <c r="I9" s="172">
        <f t="shared" si="4"/>
        <v>7</v>
      </c>
      <c r="J9" s="172">
        <f t="shared" si="4"/>
        <v>8</v>
      </c>
      <c r="K9" s="172" t="e">
        <f t="shared" si="4"/>
        <v>#N/A</v>
      </c>
    </row>
    <row r="10" spans="1:2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21" x14ac:dyDescent="0.2">
      <c r="A11" s="6" t="s">
        <v>4</v>
      </c>
      <c r="B11" s="4"/>
      <c r="C11" s="172">
        <f>_xlfn.RANK.EQ(C14,$C$14:$K$14,0)</f>
        <v>1</v>
      </c>
      <c r="D11" s="172">
        <f t="shared" ref="D11:K11" si="5">_xlfn.RANK.EQ(D14,$C$14:$K$14,0)</f>
        <v>2</v>
      </c>
      <c r="E11" s="172">
        <f t="shared" si="5"/>
        <v>3</v>
      </c>
      <c r="F11" s="172">
        <f t="shared" si="5"/>
        <v>4</v>
      </c>
      <c r="G11" s="172">
        <f t="shared" si="5"/>
        <v>5</v>
      </c>
      <c r="H11" s="172">
        <f t="shared" si="5"/>
        <v>6</v>
      </c>
      <c r="I11" s="172">
        <f t="shared" si="5"/>
        <v>7</v>
      </c>
      <c r="J11" s="172">
        <f t="shared" si="5"/>
        <v>8</v>
      </c>
      <c r="K11" s="172" t="e">
        <f t="shared" si="5"/>
        <v>#N/A</v>
      </c>
      <c r="M11" s="45"/>
      <c r="N11" s="27">
        <v>1</v>
      </c>
      <c r="O11" s="27">
        <v>2</v>
      </c>
      <c r="P11" s="27">
        <v>3</v>
      </c>
      <c r="Q11" s="27">
        <v>4</v>
      </c>
      <c r="R11" s="27">
        <v>5</v>
      </c>
      <c r="S11" s="27">
        <v>6</v>
      </c>
      <c r="T11" s="27">
        <v>7</v>
      </c>
      <c r="U11" s="27">
        <v>8</v>
      </c>
    </row>
    <row r="12" spans="1:21" ht="86.4" x14ac:dyDescent="0.2">
      <c r="A12" s="12" t="str">
        <f>A2</f>
        <v>【性別】</v>
      </c>
      <c r="B12" s="59" t="str">
        <f>B2</f>
        <v>調査数</v>
      </c>
      <c r="C12" s="60" t="s">
        <v>112</v>
      </c>
      <c r="D12" s="61" t="s">
        <v>111</v>
      </c>
      <c r="E12" s="61" t="s">
        <v>113</v>
      </c>
      <c r="F12" s="61" t="s">
        <v>115</v>
      </c>
      <c r="G12" s="61" t="s">
        <v>116</v>
      </c>
      <c r="H12" s="61" t="s">
        <v>114</v>
      </c>
      <c r="I12" s="61" t="s">
        <v>101</v>
      </c>
      <c r="J12" s="61" t="s">
        <v>23</v>
      </c>
      <c r="K12" s="63" t="s">
        <v>0</v>
      </c>
      <c r="L12" s="44" t="s">
        <v>32</v>
      </c>
      <c r="M12" s="12" t="str">
        <f>A12</f>
        <v>【性別】</v>
      </c>
      <c r="N12" s="60" t="str">
        <f>C$12</f>
        <v>食品や日用品、光熱費などの
物価上昇による支出が増えた</v>
      </c>
      <c r="O12" s="61" t="str">
        <f t="shared" ref="O12:U12" si="6">D$12</f>
        <v>給料等の収入が増えない、または減った</v>
      </c>
      <c r="P12" s="61" t="str">
        <f t="shared" si="6"/>
        <v>医療・介護費の支出が増えた</v>
      </c>
      <c r="Q12" s="61" t="str">
        <f t="shared" si="6"/>
        <v>税金の支出が増えた</v>
      </c>
      <c r="R12" s="61" t="str">
        <f t="shared" si="6"/>
        <v>各種保険料などの支出が増えた</v>
      </c>
      <c r="S12" s="61" t="str">
        <f t="shared" si="6"/>
        <v>保育・教育費の支出が増えた</v>
      </c>
      <c r="T12" s="61" t="str">
        <f t="shared" si="6"/>
        <v>その他</v>
      </c>
      <c r="U12" s="63" t="str">
        <f t="shared" si="6"/>
        <v>わからない</v>
      </c>
    </row>
    <row r="13" spans="1:21" ht="12.75" customHeight="1" x14ac:dyDescent="0.2">
      <c r="A13" s="269" t="str">
        <f>A3</f>
        <v>全体(n = 808 )　　</v>
      </c>
      <c r="B13" s="113">
        <f>B3</f>
        <v>808</v>
      </c>
      <c r="C13" s="129">
        <v>721</v>
      </c>
      <c r="D13" s="130">
        <v>529</v>
      </c>
      <c r="E13" s="130">
        <v>222</v>
      </c>
      <c r="F13" s="130">
        <v>186</v>
      </c>
      <c r="G13" s="130">
        <v>121</v>
      </c>
      <c r="H13" s="130">
        <v>97</v>
      </c>
      <c r="I13" s="130">
        <v>39</v>
      </c>
      <c r="J13" s="130">
        <v>2</v>
      </c>
      <c r="K13" s="131"/>
      <c r="L13" s="166">
        <f>SUM(C13:K13)</f>
        <v>1917</v>
      </c>
      <c r="M13" s="93" t="str">
        <f>A15</f>
        <v>男性(n = 705 )　　</v>
      </c>
      <c r="N13" s="74">
        <f t="shared" ref="N13:U13" si="7">C16</f>
        <v>85.558583106267022</v>
      </c>
      <c r="O13" s="75">
        <f t="shared" si="7"/>
        <v>67.574931880108991</v>
      </c>
      <c r="P13" s="75">
        <f t="shared" si="7"/>
        <v>28.337874659400548</v>
      </c>
      <c r="Q13" s="75">
        <f t="shared" si="7"/>
        <v>24.52316076294278</v>
      </c>
      <c r="R13" s="75">
        <f t="shared" si="7"/>
        <v>16.621253405994551</v>
      </c>
      <c r="S13" s="75">
        <f t="shared" si="7"/>
        <v>10.899182561307901</v>
      </c>
      <c r="T13" s="75">
        <f t="shared" si="7"/>
        <v>3.8147138964577656</v>
      </c>
      <c r="U13" s="77">
        <f t="shared" si="7"/>
        <v>0.27247956403269752</v>
      </c>
    </row>
    <row r="14" spans="1:21" ht="12.75" customHeight="1" x14ac:dyDescent="0.2">
      <c r="A14" s="270"/>
      <c r="B14" s="114">
        <f>B4</f>
        <v>0</v>
      </c>
      <c r="C14" s="211">
        <v>89.232673267326732</v>
      </c>
      <c r="D14" s="213">
        <v>65.470297029702976</v>
      </c>
      <c r="E14" s="213">
        <v>27.475247524752476</v>
      </c>
      <c r="F14" s="213">
        <v>23.019801980198022</v>
      </c>
      <c r="G14" s="213">
        <v>14.975247524752474</v>
      </c>
      <c r="H14" s="213">
        <v>12.004950495049505</v>
      </c>
      <c r="I14" s="213">
        <v>4.826732673267327</v>
      </c>
      <c r="J14" s="213">
        <v>0.24752475247524752</v>
      </c>
      <c r="K14" s="214"/>
      <c r="M14" s="94" t="str">
        <f>A17</f>
        <v>女性(n = 901 )　　</v>
      </c>
      <c r="N14" s="78">
        <f t="shared" ref="N14:U14" si="8">C18</f>
        <v>92.290249433106581</v>
      </c>
      <c r="O14" s="79">
        <f t="shared" si="8"/>
        <v>63.718820861678005</v>
      </c>
      <c r="P14" s="79">
        <f t="shared" si="8"/>
        <v>26.75736961451247</v>
      </c>
      <c r="Q14" s="79">
        <f t="shared" si="8"/>
        <v>21.768707482993197</v>
      </c>
      <c r="R14" s="79">
        <f t="shared" si="8"/>
        <v>13.605442176870749</v>
      </c>
      <c r="S14" s="79">
        <f t="shared" si="8"/>
        <v>12.925170068027212</v>
      </c>
      <c r="T14" s="79">
        <f t="shared" si="8"/>
        <v>5.6689342403628125</v>
      </c>
      <c r="U14" s="81">
        <f t="shared" si="8"/>
        <v>0.22675736961451248</v>
      </c>
    </row>
    <row r="15" spans="1:21" x14ac:dyDescent="0.2">
      <c r="A15" s="269" t="str">
        <f>A5</f>
        <v>男性(n = 705 )　　</v>
      </c>
      <c r="B15" s="113">
        <f>B5</f>
        <v>367</v>
      </c>
      <c r="C15" s="129">
        <v>314</v>
      </c>
      <c r="D15" s="130">
        <v>248</v>
      </c>
      <c r="E15" s="130">
        <v>104</v>
      </c>
      <c r="F15" s="130">
        <v>90</v>
      </c>
      <c r="G15" s="130">
        <v>61</v>
      </c>
      <c r="H15" s="130">
        <v>40</v>
      </c>
      <c r="I15" s="130">
        <v>14</v>
      </c>
      <c r="J15" s="130">
        <v>1</v>
      </c>
      <c r="K15" s="131"/>
      <c r="L15" s="166">
        <f>SUM(C15:K15)</f>
        <v>872</v>
      </c>
      <c r="N15" s="25">
        <f>N13-N14</f>
        <v>-6.7316663268395587</v>
      </c>
      <c r="O15" s="25">
        <f t="shared" ref="O15:U15" si="9">O13-O14</f>
        <v>3.8561110184309868</v>
      </c>
      <c r="P15" s="25">
        <f t="shared" si="9"/>
        <v>1.5805050448880777</v>
      </c>
      <c r="Q15" s="25">
        <f t="shared" si="9"/>
        <v>2.7544532799495833</v>
      </c>
      <c r="R15" s="25">
        <f t="shared" si="9"/>
        <v>3.015811229123802</v>
      </c>
      <c r="S15" s="25">
        <f t="shared" si="9"/>
        <v>-2.0259875067193107</v>
      </c>
      <c r="T15" s="25">
        <f t="shared" si="9"/>
        <v>-1.8542203439050469</v>
      </c>
      <c r="U15" s="25">
        <f t="shared" si="9"/>
        <v>4.5722194418185036E-2</v>
      </c>
    </row>
    <row r="16" spans="1:21" x14ac:dyDescent="0.2">
      <c r="A16" s="270"/>
      <c r="B16" s="114">
        <f>B6</f>
        <v>45.420792079207921</v>
      </c>
      <c r="C16" s="212">
        <v>85.558583106267022</v>
      </c>
      <c r="D16" s="215">
        <v>67.574931880108991</v>
      </c>
      <c r="E16" s="215">
        <v>28.337874659400548</v>
      </c>
      <c r="F16" s="215">
        <v>24.52316076294278</v>
      </c>
      <c r="G16" s="215">
        <v>16.621253405994551</v>
      </c>
      <c r="H16" s="215">
        <v>10.899182561307901</v>
      </c>
      <c r="I16" s="215">
        <v>3.8147138964577656</v>
      </c>
      <c r="J16" s="215">
        <v>0.27247956403269752</v>
      </c>
      <c r="K16" s="216"/>
    </row>
    <row r="17" spans="1:16" x14ac:dyDescent="0.2">
      <c r="A17" s="269" t="str">
        <f>A7</f>
        <v>女性(n = 901 )　　</v>
      </c>
      <c r="B17" s="113">
        <f>B7</f>
        <v>441</v>
      </c>
      <c r="C17" s="121">
        <v>407</v>
      </c>
      <c r="D17" s="122">
        <v>281</v>
      </c>
      <c r="E17" s="122">
        <v>118</v>
      </c>
      <c r="F17" s="122">
        <v>96</v>
      </c>
      <c r="G17" s="122">
        <v>60</v>
      </c>
      <c r="H17" s="122">
        <v>57</v>
      </c>
      <c r="I17" s="122">
        <v>25</v>
      </c>
      <c r="J17" s="122">
        <v>1</v>
      </c>
      <c r="K17" s="124"/>
      <c r="L17" s="166">
        <f>SUM(C17:K17)</f>
        <v>1045</v>
      </c>
    </row>
    <row r="18" spans="1:16" x14ac:dyDescent="0.2">
      <c r="A18" s="270"/>
      <c r="B18" s="114">
        <f>B8</f>
        <v>54.579207920792086</v>
      </c>
      <c r="C18" s="212">
        <v>92.290249433106581</v>
      </c>
      <c r="D18" s="215">
        <v>63.718820861678005</v>
      </c>
      <c r="E18" s="215">
        <v>26.75736961451247</v>
      </c>
      <c r="F18" s="215">
        <v>21.768707482993197</v>
      </c>
      <c r="G18" s="215">
        <v>13.605442176870749</v>
      </c>
      <c r="H18" s="215">
        <v>12.925170068027212</v>
      </c>
      <c r="I18" s="215">
        <v>5.6689342403628125</v>
      </c>
      <c r="J18" s="215">
        <v>0.22675736961451248</v>
      </c>
      <c r="K18" s="216"/>
    </row>
    <row r="20" spans="1:16" x14ac:dyDescent="0.2">
      <c r="A20" s="3" t="s">
        <v>150</v>
      </c>
      <c r="B20" s="1" t="str">
        <f>B1</f>
        <v>くらしが苦しくなったと感じる理由</v>
      </c>
      <c r="C20" s="8"/>
      <c r="D20" s="92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6" ht="86.4" x14ac:dyDescent="0.2">
      <c r="A21" s="12" t="s">
        <v>59</v>
      </c>
      <c r="B21" s="59" t="str">
        <f>B2</f>
        <v>調査数</v>
      </c>
      <c r="C21" s="60" t="str">
        <f t="shared" ref="C21:K21" si="10">C2</f>
        <v>給料等の収入が増えない、または減った</v>
      </c>
      <c r="D21" s="61" t="str">
        <f t="shared" si="10"/>
        <v>食品や日用品、光熱費などの
物価上昇による支出が増えた</v>
      </c>
      <c r="E21" s="61" t="str">
        <f t="shared" si="10"/>
        <v>医療・介護費の支出が増えた</v>
      </c>
      <c r="F21" s="61" t="str">
        <f t="shared" si="10"/>
        <v>保育・教育費の支出が増えた</v>
      </c>
      <c r="G21" s="61" t="str">
        <f t="shared" si="10"/>
        <v>税金の支出が増えた</v>
      </c>
      <c r="H21" s="61" t="str">
        <f t="shared" si="10"/>
        <v>各種保険料などの支出が増えた</v>
      </c>
      <c r="I21" s="61" t="str">
        <f t="shared" si="10"/>
        <v>その他</v>
      </c>
      <c r="J21" s="61" t="str">
        <f t="shared" si="10"/>
        <v>わからない</v>
      </c>
      <c r="K21" s="63" t="str">
        <f t="shared" si="10"/>
        <v>無回答</v>
      </c>
      <c r="L21" s="5" t="s">
        <v>117</v>
      </c>
      <c r="M21" s="202" t="s">
        <v>242</v>
      </c>
    </row>
    <row r="22" spans="1:16" x14ac:dyDescent="0.2">
      <c r="A22" s="269" t="str">
        <f>A13</f>
        <v>全体(n = 808 )　　</v>
      </c>
      <c r="B22" s="34">
        <v>805</v>
      </c>
      <c r="C22" s="31">
        <f t="shared" ref="C22:J22" si="11">SUM(C24,C26,C28,C30,C32,C34,C36,)</f>
        <v>527</v>
      </c>
      <c r="D22" s="32">
        <f t="shared" si="11"/>
        <v>718</v>
      </c>
      <c r="E22" s="32">
        <f t="shared" si="11"/>
        <v>222</v>
      </c>
      <c r="F22" s="32">
        <f t="shared" si="11"/>
        <v>96</v>
      </c>
      <c r="G22" s="32">
        <f t="shared" si="11"/>
        <v>187</v>
      </c>
      <c r="H22" s="32">
        <f t="shared" si="11"/>
        <v>120</v>
      </c>
      <c r="I22" s="32">
        <f t="shared" si="11"/>
        <v>39</v>
      </c>
      <c r="J22" s="32">
        <f t="shared" si="11"/>
        <v>2</v>
      </c>
      <c r="K22" s="33"/>
      <c r="L22" s="5">
        <f>SUM($C22:K22)</f>
        <v>1911</v>
      </c>
      <c r="M22" s="166">
        <f>B22</f>
        <v>805</v>
      </c>
    </row>
    <row r="23" spans="1:16" x14ac:dyDescent="0.2">
      <c r="A23" s="270"/>
      <c r="B23" s="35"/>
      <c r="C23" s="20">
        <f t="shared" ref="C23" si="12">C22/$B22*100</f>
        <v>65.465838509316768</v>
      </c>
      <c r="D23" s="207">
        <f t="shared" ref="D23" si="13">D22/$B22*100</f>
        <v>89.192546583850927</v>
      </c>
      <c r="E23" s="207">
        <f t="shared" ref="E23" si="14">E22/$B22*100</f>
        <v>27.577639751552795</v>
      </c>
      <c r="F23" s="207">
        <f t="shared" ref="F23" si="15">F22/$B22*100</f>
        <v>11.925465838509316</v>
      </c>
      <c r="G23" s="207">
        <f t="shared" ref="G23" si="16">G22/$B22*100</f>
        <v>23.229813664596275</v>
      </c>
      <c r="H23" s="207">
        <f t="shared" ref="H23" si="17">H22/$B22*100</f>
        <v>14.906832298136646</v>
      </c>
      <c r="I23" s="207">
        <f t="shared" ref="I23" si="18">I22/$B22*100</f>
        <v>4.8447204968944098</v>
      </c>
      <c r="J23" s="207">
        <f t="shared" ref="J23" si="19">J22/$B22*100</f>
        <v>0.2484472049689441</v>
      </c>
      <c r="K23" s="208"/>
      <c r="L23" s="5"/>
    </row>
    <row r="24" spans="1:16" ht="13.5" customHeight="1" x14ac:dyDescent="0.2">
      <c r="A24" s="273" t="str">
        <f>'問1S（表）'!A41</f>
        <v>18～19歳(n = 21 )　　</v>
      </c>
      <c r="B24" s="34">
        <v>7</v>
      </c>
      <c r="C24" s="28">
        <v>1</v>
      </c>
      <c r="D24" s="29">
        <v>5</v>
      </c>
      <c r="E24" s="29">
        <v>1</v>
      </c>
      <c r="F24" s="29">
        <v>2</v>
      </c>
      <c r="G24" s="29">
        <v>2</v>
      </c>
      <c r="H24" s="29">
        <v>1</v>
      </c>
      <c r="I24" s="29">
        <v>0</v>
      </c>
      <c r="J24" s="29">
        <v>1</v>
      </c>
      <c r="K24" s="30"/>
      <c r="L24" s="5">
        <f>SUM($C24:K24)</f>
        <v>13</v>
      </c>
      <c r="M24" s="166">
        <f>B24</f>
        <v>7</v>
      </c>
      <c r="N24" t="str">
        <f>" 18～19歳（N = "&amp;L24&amp;" : n = "&amp;M24&amp;"）"</f>
        <v xml:space="preserve"> 18～19歳（N = 13 : n = 7）</v>
      </c>
    </row>
    <row r="25" spans="1:16" x14ac:dyDescent="0.2">
      <c r="A25" s="274"/>
      <c r="B25" s="20">
        <f>B24/$B$22*100</f>
        <v>0.86956521739130432</v>
      </c>
      <c r="C25" s="20">
        <f t="shared" ref="C25" si="20">C24/$B24*100</f>
        <v>14.285714285714285</v>
      </c>
      <c r="D25" s="207">
        <f t="shared" ref="D25" si="21">D24/$B24*100</f>
        <v>71.428571428571431</v>
      </c>
      <c r="E25" s="207">
        <f t="shared" ref="E25" si="22">E24/$B24*100</f>
        <v>14.285714285714285</v>
      </c>
      <c r="F25" s="207">
        <f t="shared" ref="F25" si="23">F24/$B24*100</f>
        <v>28.571428571428569</v>
      </c>
      <c r="G25" s="207">
        <f t="shared" ref="G25" si="24">G24/$B24*100</f>
        <v>28.571428571428569</v>
      </c>
      <c r="H25" s="207">
        <f t="shared" ref="H25" si="25">H24/$B24*100</f>
        <v>14.285714285714285</v>
      </c>
      <c r="I25" s="207">
        <f t="shared" ref="I25" si="26">I24/$B24*100</f>
        <v>0</v>
      </c>
      <c r="J25" s="207">
        <f t="shared" ref="J25" si="27">J24/$B24*100</f>
        <v>14.285714285714285</v>
      </c>
      <c r="K25" s="208"/>
      <c r="L25" s="5"/>
    </row>
    <row r="26" spans="1:16" ht="13.5" customHeight="1" x14ac:dyDescent="0.2">
      <c r="A26" s="273" t="str">
        <f>'問1S（表）'!A43</f>
        <v>20～29歳(n = 119 )　　</v>
      </c>
      <c r="B26" s="34">
        <v>43</v>
      </c>
      <c r="C26" s="28">
        <v>34</v>
      </c>
      <c r="D26" s="29">
        <v>32</v>
      </c>
      <c r="E26" s="29">
        <v>6</v>
      </c>
      <c r="F26" s="29">
        <v>2</v>
      </c>
      <c r="G26" s="29">
        <v>10</v>
      </c>
      <c r="H26" s="29">
        <v>6</v>
      </c>
      <c r="I26" s="29">
        <v>4</v>
      </c>
      <c r="J26" s="29">
        <v>0</v>
      </c>
      <c r="K26" s="30"/>
      <c r="L26" s="5">
        <f>SUM($C26:K26)</f>
        <v>94</v>
      </c>
      <c r="M26" s="166">
        <f>B26</f>
        <v>43</v>
      </c>
      <c r="N26" t="str">
        <f>" 20～29歳（N = "&amp;L26&amp;" : n = "&amp;M26&amp;"）"</f>
        <v xml:space="preserve"> 20～29歳（N = 94 : n = 43）</v>
      </c>
    </row>
    <row r="27" spans="1:16" x14ac:dyDescent="0.2">
      <c r="A27" s="274"/>
      <c r="B27" s="20">
        <f>B26/$B$22*100</f>
        <v>5.341614906832298</v>
      </c>
      <c r="C27" s="20">
        <f t="shared" ref="C27" si="28">C26/$B26*100</f>
        <v>79.069767441860463</v>
      </c>
      <c r="D27" s="207">
        <f t="shared" ref="D27" si="29">D26/$B26*100</f>
        <v>74.418604651162795</v>
      </c>
      <c r="E27" s="207">
        <f t="shared" ref="E27" si="30">E26/$B26*100</f>
        <v>13.953488372093023</v>
      </c>
      <c r="F27" s="207">
        <f t="shared" ref="F27" si="31">F26/$B26*100</f>
        <v>4.6511627906976747</v>
      </c>
      <c r="G27" s="207">
        <f t="shared" ref="G27" si="32">G26/$B26*100</f>
        <v>23.255813953488371</v>
      </c>
      <c r="H27" s="207">
        <f t="shared" ref="H27" si="33">H26/$B26*100</f>
        <v>13.953488372093023</v>
      </c>
      <c r="I27" s="207">
        <f t="shared" ref="I27" si="34">I26/$B26*100</f>
        <v>9.3023255813953494</v>
      </c>
      <c r="J27" s="207">
        <f t="shared" ref="J27" si="35">J26/$B26*100</f>
        <v>0</v>
      </c>
      <c r="K27" s="208"/>
      <c r="L27" s="5"/>
    </row>
    <row r="28" spans="1:16" ht="13.5" customHeight="1" x14ac:dyDescent="0.2">
      <c r="A28" s="273" t="str">
        <f>'問1S（表）'!A45</f>
        <v>30～39歳(n = 196 )　　</v>
      </c>
      <c r="B28" s="34">
        <v>104</v>
      </c>
      <c r="C28" s="28">
        <v>68</v>
      </c>
      <c r="D28" s="29">
        <v>94</v>
      </c>
      <c r="E28" s="29">
        <v>13</v>
      </c>
      <c r="F28" s="29">
        <v>21</v>
      </c>
      <c r="G28" s="29">
        <v>30</v>
      </c>
      <c r="H28" s="29">
        <v>20</v>
      </c>
      <c r="I28" s="29">
        <v>3</v>
      </c>
      <c r="J28" s="29">
        <v>0</v>
      </c>
      <c r="K28" s="30"/>
      <c r="L28" s="5">
        <f>SUM($C28:K28)</f>
        <v>249</v>
      </c>
      <c r="M28" s="166">
        <f>B28</f>
        <v>104</v>
      </c>
      <c r="N28" t="str">
        <f>" 30～39歳（N = "&amp;L28&amp;" : n = "&amp;M28&amp;"）"</f>
        <v xml:space="preserve"> 30～39歳（N = 249 : n = 104）</v>
      </c>
    </row>
    <row r="29" spans="1:16" x14ac:dyDescent="0.2">
      <c r="A29" s="274"/>
      <c r="B29" s="20">
        <f>B28/$B$22*100</f>
        <v>12.919254658385093</v>
      </c>
      <c r="C29" s="20">
        <f t="shared" ref="C29" si="36">C28/$B28*100</f>
        <v>65.384615384615387</v>
      </c>
      <c r="D29" s="207">
        <f t="shared" ref="D29" si="37">D28/$B28*100</f>
        <v>90.384615384615387</v>
      </c>
      <c r="E29" s="207">
        <f t="shared" ref="E29" si="38">E28/$B28*100</f>
        <v>12.5</v>
      </c>
      <c r="F29" s="207">
        <f t="shared" ref="F29" si="39">F28/$B28*100</f>
        <v>20.192307692307693</v>
      </c>
      <c r="G29" s="207">
        <f t="shared" ref="G29" si="40">G28/$B28*100</f>
        <v>28.846153846153843</v>
      </c>
      <c r="H29" s="207">
        <f t="shared" ref="H29" si="41">H28/$B28*100</f>
        <v>19.230769230769234</v>
      </c>
      <c r="I29" s="207">
        <f t="shared" ref="I29" si="42">I28/$B28*100</f>
        <v>2.8846153846153846</v>
      </c>
      <c r="J29" s="207">
        <f t="shared" ref="J29" si="43">J28/$B28*100</f>
        <v>0</v>
      </c>
      <c r="K29" s="208"/>
      <c r="L29" s="5"/>
    </row>
    <row r="30" spans="1:16" ht="13.5" customHeight="1" x14ac:dyDescent="0.2">
      <c r="A30" s="273" t="str">
        <f>'問1S（表）'!A47</f>
        <v>40～49歳(n = 281 )　　</v>
      </c>
      <c r="B30" s="34">
        <v>144</v>
      </c>
      <c r="C30" s="28">
        <v>95</v>
      </c>
      <c r="D30" s="29">
        <v>135</v>
      </c>
      <c r="E30" s="29">
        <v>17</v>
      </c>
      <c r="F30" s="29">
        <v>47</v>
      </c>
      <c r="G30" s="29">
        <v>31</v>
      </c>
      <c r="H30" s="29">
        <v>13</v>
      </c>
      <c r="I30" s="29">
        <v>7</v>
      </c>
      <c r="J30" s="29">
        <v>1</v>
      </c>
      <c r="K30" s="30"/>
      <c r="L30" s="5">
        <f>SUM($C30:K30)</f>
        <v>346</v>
      </c>
      <c r="M30" s="166">
        <f>B30</f>
        <v>144</v>
      </c>
      <c r="N30" t="str">
        <f>" 40～49歳（N = "&amp;L30&amp;" : n = "&amp;M30&amp;"）"</f>
        <v xml:space="preserve"> 40～49歳（N = 346 : n = 144）</v>
      </c>
    </row>
    <row r="31" spans="1:16" x14ac:dyDescent="0.2">
      <c r="A31" s="274"/>
      <c r="B31" s="20">
        <f>B30/$B$22*100</f>
        <v>17.888198757763977</v>
      </c>
      <c r="C31" s="20">
        <f t="shared" ref="C31" si="44">C30/$B30*100</f>
        <v>65.972222222222214</v>
      </c>
      <c r="D31" s="207">
        <f t="shared" ref="D31" si="45">D30/$B30*100</f>
        <v>93.75</v>
      </c>
      <c r="E31" s="207">
        <f t="shared" ref="E31" si="46">E30/$B30*100</f>
        <v>11.805555555555555</v>
      </c>
      <c r="F31" s="207">
        <f t="shared" ref="F31" si="47">F30/$B30*100</f>
        <v>32.638888888888893</v>
      </c>
      <c r="G31" s="207">
        <f t="shared" ref="G31" si="48">G30/$B30*100</f>
        <v>21.527777777777779</v>
      </c>
      <c r="H31" s="207">
        <f t="shared" ref="H31" si="49">H30/$B30*100</f>
        <v>9.0277777777777768</v>
      </c>
      <c r="I31" s="207">
        <f t="shared" ref="I31" si="50">I30/$B30*100</f>
        <v>4.8611111111111116</v>
      </c>
      <c r="J31" s="207">
        <f t="shared" ref="J31" si="51">J30/$B30*100</f>
        <v>0.69444444444444442</v>
      </c>
      <c r="K31" s="208"/>
      <c r="L31" s="5"/>
    </row>
    <row r="32" spans="1:16" ht="13.5" customHeight="1" x14ac:dyDescent="0.2">
      <c r="A32" s="273" t="str">
        <f>'問1S（表）'!A49</f>
        <v>50～59歳(n = 320 )　　</v>
      </c>
      <c r="B32" s="34">
        <v>167</v>
      </c>
      <c r="C32" s="28">
        <v>129</v>
      </c>
      <c r="D32" s="29">
        <v>152</v>
      </c>
      <c r="E32" s="29">
        <v>40</v>
      </c>
      <c r="F32" s="29">
        <v>22</v>
      </c>
      <c r="G32" s="29">
        <v>34</v>
      </c>
      <c r="H32" s="29">
        <v>13</v>
      </c>
      <c r="I32" s="29">
        <v>8</v>
      </c>
      <c r="J32" s="29">
        <v>0</v>
      </c>
      <c r="K32" s="30"/>
      <c r="L32" s="5">
        <f>SUM($C32:K32)</f>
        <v>398</v>
      </c>
      <c r="M32" s="166">
        <f>B32</f>
        <v>167</v>
      </c>
      <c r="N32" t="str">
        <f>" 50～59歳（N = "&amp;L32&amp;" : n = "&amp;M32&amp;"）"</f>
        <v xml:space="preserve"> 50～59歳（N = 398 : n = 167）</v>
      </c>
    </row>
    <row r="33" spans="1:21" x14ac:dyDescent="0.2">
      <c r="A33" s="274"/>
      <c r="B33" s="20">
        <f>B32/$B$22*100</f>
        <v>20.745341614906831</v>
      </c>
      <c r="C33" s="20">
        <f t="shared" ref="C33" si="52">C32/$B32*100</f>
        <v>77.245508982035929</v>
      </c>
      <c r="D33" s="207">
        <f t="shared" ref="D33" si="53">D32/$B32*100</f>
        <v>91.017964071856284</v>
      </c>
      <c r="E33" s="207">
        <f t="shared" ref="E33" si="54">E32/$B32*100</f>
        <v>23.952095808383234</v>
      </c>
      <c r="F33" s="207">
        <f t="shared" ref="F33" si="55">F32/$B32*100</f>
        <v>13.17365269461078</v>
      </c>
      <c r="G33" s="207">
        <f t="shared" ref="G33" si="56">G32/$B32*100</f>
        <v>20.359281437125748</v>
      </c>
      <c r="H33" s="207">
        <f t="shared" ref="H33" si="57">H32/$B32*100</f>
        <v>7.7844311377245514</v>
      </c>
      <c r="I33" s="207">
        <f t="shared" ref="I33" si="58">I32/$B32*100</f>
        <v>4.7904191616766472</v>
      </c>
      <c r="J33" s="207">
        <f t="shared" ref="J33" si="59">J32/$B32*100</f>
        <v>0</v>
      </c>
      <c r="K33" s="208"/>
      <c r="L33" s="5"/>
    </row>
    <row r="34" spans="1:21" ht="13.5" customHeight="1" x14ac:dyDescent="0.2">
      <c r="A34" s="273" t="str">
        <f>'問1S（表）'!A51</f>
        <v>60～69歳(n = 352 )　　</v>
      </c>
      <c r="B34" s="34">
        <v>174</v>
      </c>
      <c r="C34" s="28">
        <v>113</v>
      </c>
      <c r="D34" s="29">
        <v>150</v>
      </c>
      <c r="E34" s="29">
        <v>77</v>
      </c>
      <c r="F34" s="29">
        <v>0</v>
      </c>
      <c r="G34" s="29">
        <v>42</v>
      </c>
      <c r="H34" s="29">
        <v>23</v>
      </c>
      <c r="I34" s="29">
        <v>7</v>
      </c>
      <c r="J34" s="29">
        <v>0</v>
      </c>
      <c r="K34" s="30"/>
      <c r="L34" s="5">
        <f>SUM($C34:K34)</f>
        <v>412</v>
      </c>
      <c r="M34" s="166">
        <f>B34</f>
        <v>174</v>
      </c>
      <c r="N34" t="str">
        <f>" 60～69歳（N = "&amp;L34&amp;" : n = "&amp;M34&amp;"）"</f>
        <v xml:space="preserve"> 60～69歳（N = 412 : n = 174）</v>
      </c>
    </row>
    <row r="35" spans="1:21" x14ac:dyDescent="0.2">
      <c r="A35" s="274"/>
      <c r="B35" s="20">
        <f>B34/$B$22*100</f>
        <v>21.614906832298136</v>
      </c>
      <c r="C35" s="20">
        <f t="shared" ref="C35" si="60">C34/$B34*100</f>
        <v>64.942528735632195</v>
      </c>
      <c r="D35" s="207">
        <f t="shared" ref="D35" si="61">D34/$B34*100</f>
        <v>86.206896551724128</v>
      </c>
      <c r="E35" s="207">
        <f t="shared" ref="E35" si="62">E34/$B34*100</f>
        <v>44.252873563218394</v>
      </c>
      <c r="F35" s="207">
        <f t="shared" ref="F35" si="63">F34/$B34*100</f>
        <v>0</v>
      </c>
      <c r="G35" s="207">
        <f t="shared" ref="G35" si="64">G34/$B34*100</f>
        <v>24.137931034482758</v>
      </c>
      <c r="H35" s="207">
        <f t="shared" ref="H35" si="65">H34/$B34*100</f>
        <v>13.218390804597702</v>
      </c>
      <c r="I35" s="207">
        <f t="shared" ref="I35" si="66">I34/$B34*100</f>
        <v>4.0229885057471266</v>
      </c>
      <c r="J35" s="207">
        <f t="shared" ref="J35" si="67">J34/$B34*100</f>
        <v>0</v>
      </c>
      <c r="K35" s="208"/>
      <c r="L35" s="5"/>
    </row>
    <row r="36" spans="1:21" ht="13.5" customHeight="1" x14ac:dyDescent="0.2">
      <c r="A36" s="273" t="str">
        <f>'問1S（表）'!A53</f>
        <v>70歳以上(n = 315 )　　</v>
      </c>
      <c r="B36" s="34">
        <v>166</v>
      </c>
      <c r="C36" s="28">
        <v>87</v>
      </c>
      <c r="D36" s="29">
        <v>150</v>
      </c>
      <c r="E36" s="29">
        <v>68</v>
      </c>
      <c r="F36" s="29">
        <v>2</v>
      </c>
      <c r="G36" s="29">
        <v>38</v>
      </c>
      <c r="H36" s="29">
        <v>44</v>
      </c>
      <c r="I36" s="29">
        <v>10</v>
      </c>
      <c r="J36" s="29">
        <v>0</v>
      </c>
      <c r="K36" s="30"/>
      <c r="L36" s="5">
        <f>SUM($C36:K36)</f>
        <v>399</v>
      </c>
      <c r="M36" s="166">
        <f>B36</f>
        <v>166</v>
      </c>
      <c r="N36" t="str">
        <f>" 70歳以上（N = "&amp;L36&amp;" : n = "&amp;M36&amp;"）"</f>
        <v xml:space="preserve"> 70歳以上（N = 399 : n = 166）</v>
      </c>
    </row>
    <row r="37" spans="1:21" ht="12.75" customHeight="1" x14ac:dyDescent="0.2">
      <c r="A37" s="274"/>
      <c r="B37" s="20">
        <f>B36/$B$22*100</f>
        <v>20.621118012422361</v>
      </c>
      <c r="C37" s="20">
        <f t="shared" ref="C37" si="68">C36/$B36*100</f>
        <v>52.409638554216862</v>
      </c>
      <c r="D37" s="207">
        <f t="shared" ref="D37" si="69">D36/$B36*100</f>
        <v>90.361445783132538</v>
      </c>
      <c r="E37" s="207">
        <f t="shared" ref="E37" si="70">E36/$B36*100</f>
        <v>40.963855421686745</v>
      </c>
      <c r="F37" s="207">
        <f t="shared" ref="F37" si="71">F36/$B36*100</f>
        <v>1.2048192771084338</v>
      </c>
      <c r="G37" s="207">
        <f t="shared" ref="G37" si="72">G36/$B36*100</f>
        <v>22.891566265060241</v>
      </c>
      <c r="H37" s="207">
        <f t="shared" ref="H37" si="73">H36/$B36*100</f>
        <v>26.506024096385545</v>
      </c>
      <c r="I37" s="207">
        <f t="shared" ref="I37" si="74">I36/$B36*100</f>
        <v>6.024096385542169</v>
      </c>
      <c r="J37" s="207">
        <f t="shared" ref="J37" si="75">J36/$B36*100</f>
        <v>0</v>
      </c>
      <c r="K37" s="208"/>
      <c r="L37" s="5"/>
    </row>
    <row r="38" spans="1:21" x14ac:dyDescent="0.2">
      <c r="A38" s="187"/>
      <c r="B38" s="22"/>
      <c r="C38" s="172">
        <f>_xlfn.RANK.EQ(C23,$C$23:$K$23,0)</f>
        <v>2</v>
      </c>
      <c r="D38" s="172">
        <f t="shared" ref="D38:K38" si="76">_xlfn.RANK.EQ(D23,$C$23:$K$23,0)</f>
        <v>1</v>
      </c>
      <c r="E38" s="172">
        <f t="shared" si="76"/>
        <v>3</v>
      </c>
      <c r="F38" s="172">
        <f t="shared" si="76"/>
        <v>6</v>
      </c>
      <c r="G38" s="172">
        <f t="shared" si="76"/>
        <v>4</v>
      </c>
      <c r="H38" s="172">
        <f t="shared" si="76"/>
        <v>5</v>
      </c>
      <c r="I38" s="172">
        <f t="shared" si="76"/>
        <v>7</v>
      </c>
      <c r="J38" s="172">
        <f t="shared" si="76"/>
        <v>8</v>
      </c>
      <c r="K38" s="172" t="e">
        <f t="shared" si="76"/>
        <v>#N/A</v>
      </c>
    </row>
    <row r="39" spans="1:21" x14ac:dyDescent="0.2">
      <c r="A39" s="26" t="s">
        <v>2</v>
      </c>
      <c r="B39" s="22"/>
    </row>
    <row r="40" spans="1:2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M40" s="45"/>
      <c r="N40" s="27">
        <v>1</v>
      </c>
      <c r="O40" s="27">
        <v>2</v>
      </c>
      <c r="P40" s="27">
        <v>3</v>
      </c>
      <c r="Q40" s="27">
        <v>4</v>
      </c>
      <c r="R40" s="27">
        <v>5</v>
      </c>
      <c r="S40" s="27">
        <v>6</v>
      </c>
      <c r="T40" s="27">
        <v>7</v>
      </c>
      <c r="U40" s="27">
        <v>8</v>
      </c>
    </row>
    <row r="41" spans="1:21" ht="86.4" x14ac:dyDescent="0.2">
      <c r="A41" s="12" t="str">
        <f>A21</f>
        <v>【年代別】</v>
      </c>
      <c r="B41" s="59" t="str">
        <f t="shared" ref="B41" si="77">B12</f>
        <v>調査数</v>
      </c>
      <c r="C41" s="60" t="s">
        <v>190</v>
      </c>
      <c r="D41" s="61" t="s">
        <v>189</v>
      </c>
      <c r="E41" s="61" t="s">
        <v>191</v>
      </c>
      <c r="F41" s="61" t="s">
        <v>192</v>
      </c>
      <c r="G41" s="61" t="s">
        <v>193</v>
      </c>
      <c r="H41" s="61" t="s">
        <v>194</v>
      </c>
      <c r="I41" s="61" t="s">
        <v>57</v>
      </c>
      <c r="J41" s="61" t="s">
        <v>23</v>
      </c>
      <c r="K41" s="63" t="s">
        <v>175</v>
      </c>
      <c r="L41" s="44" t="s">
        <v>32</v>
      </c>
      <c r="M41" s="12" t="str">
        <f>A41</f>
        <v>【年代別】</v>
      </c>
      <c r="N41" s="60" t="str">
        <f>C$12</f>
        <v>食品や日用品、光熱費などの
物価上昇による支出が増えた</v>
      </c>
      <c r="O41" s="61" t="str">
        <f t="shared" ref="O41" si="78">D$12</f>
        <v>給料等の収入が増えない、または減った</v>
      </c>
      <c r="P41" s="61" t="str">
        <f t="shared" ref="P41" si="79">E$12</f>
        <v>医療・介護費の支出が増えた</v>
      </c>
      <c r="Q41" s="61" t="str">
        <f t="shared" ref="Q41" si="80">F$12</f>
        <v>税金の支出が増えた</v>
      </c>
      <c r="R41" s="61" t="str">
        <f t="shared" ref="R41" si="81">G$12</f>
        <v>各種保険料などの支出が増えた</v>
      </c>
      <c r="S41" s="61" t="str">
        <f t="shared" ref="S41" si="82">H$12</f>
        <v>保育・教育費の支出が増えた</v>
      </c>
      <c r="T41" s="61" t="str">
        <f t="shared" ref="T41" si="83">I$12</f>
        <v>その他</v>
      </c>
      <c r="U41" s="63" t="str">
        <f t="shared" ref="U41" si="84">J$12</f>
        <v>わからない</v>
      </c>
    </row>
    <row r="42" spans="1:21" ht="12.75" customHeight="1" x14ac:dyDescent="0.2">
      <c r="A42" s="269" t="str">
        <f>A22</f>
        <v>全体(n = 808 )　　</v>
      </c>
      <c r="B42" s="113">
        <f t="shared" ref="B42:B56" si="85">B22</f>
        <v>805</v>
      </c>
      <c r="C42" s="121">
        <v>718</v>
      </c>
      <c r="D42" s="122">
        <v>527</v>
      </c>
      <c r="E42" s="122">
        <v>222</v>
      </c>
      <c r="F42" s="122">
        <v>187</v>
      </c>
      <c r="G42" s="122">
        <v>120</v>
      </c>
      <c r="H42" s="122">
        <v>96</v>
      </c>
      <c r="I42" s="122">
        <v>39</v>
      </c>
      <c r="J42" s="122">
        <v>2</v>
      </c>
      <c r="K42" s="124"/>
      <c r="L42" s="166">
        <f>SUM(C42:K42)</f>
        <v>1911</v>
      </c>
      <c r="M42" s="95" t="str">
        <f>A44</f>
        <v>18～19歳(n = 21 )　　</v>
      </c>
      <c r="N42" s="88">
        <f>C45</f>
        <v>71.428571428571431</v>
      </c>
      <c r="O42" s="89">
        <f t="shared" ref="O42:U42" si="86">D45</f>
        <v>14.285714285714285</v>
      </c>
      <c r="P42" s="89">
        <f t="shared" si="86"/>
        <v>14.285714285714285</v>
      </c>
      <c r="Q42" s="89">
        <f t="shared" si="86"/>
        <v>28.571428571428569</v>
      </c>
      <c r="R42" s="89">
        <f t="shared" si="86"/>
        <v>14.285714285714285</v>
      </c>
      <c r="S42" s="89">
        <f t="shared" si="86"/>
        <v>28.571428571428569</v>
      </c>
      <c r="T42" s="89">
        <f t="shared" si="86"/>
        <v>0</v>
      </c>
      <c r="U42" s="91">
        <f t="shared" si="86"/>
        <v>14.285714285714285</v>
      </c>
    </row>
    <row r="43" spans="1:21" ht="12.75" customHeight="1" x14ac:dyDescent="0.2">
      <c r="A43" s="270"/>
      <c r="B43" s="114">
        <f t="shared" si="85"/>
        <v>0</v>
      </c>
      <c r="C43" s="125">
        <v>89.192546583850927</v>
      </c>
      <c r="D43" s="126">
        <v>65.465838509316768</v>
      </c>
      <c r="E43" s="126">
        <v>27.577639751552795</v>
      </c>
      <c r="F43" s="126">
        <v>23.229813664596275</v>
      </c>
      <c r="G43" s="126">
        <v>14.906832298136646</v>
      </c>
      <c r="H43" s="126">
        <v>11.925465838509316</v>
      </c>
      <c r="I43" s="126">
        <v>4.8447204968944098</v>
      </c>
      <c r="J43" s="126">
        <v>0.2484472049689441</v>
      </c>
      <c r="K43" s="128"/>
      <c r="L43" s="166"/>
      <c r="M43" s="95" t="str">
        <f>A46</f>
        <v>20～29歳(n = 119 )　　</v>
      </c>
      <c r="N43" s="88">
        <f>C47</f>
        <v>74.418604651162795</v>
      </c>
      <c r="O43" s="89">
        <f t="shared" ref="O43:U43" si="87">D47</f>
        <v>79.069767441860463</v>
      </c>
      <c r="P43" s="89">
        <f t="shared" si="87"/>
        <v>13.953488372093023</v>
      </c>
      <c r="Q43" s="89">
        <f t="shared" si="87"/>
        <v>23.255813953488371</v>
      </c>
      <c r="R43" s="89">
        <f t="shared" si="87"/>
        <v>13.953488372093023</v>
      </c>
      <c r="S43" s="89">
        <f t="shared" si="87"/>
        <v>4.6511627906976747</v>
      </c>
      <c r="T43" s="89">
        <f t="shared" si="87"/>
        <v>9.3023255813953494</v>
      </c>
      <c r="U43" s="91">
        <f t="shared" si="87"/>
        <v>0</v>
      </c>
    </row>
    <row r="44" spans="1:21" ht="12.75" customHeight="1" x14ac:dyDescent="0.2">
      <c r="A44" s="269" t="str">
        <f>A24</f>
        <v>18～19歳(n = 21 )　　</v>
      </c>
      <c r="B44" s="113">
        <f t="shared" si="85"/>
        <v>7</v>
      </c>
      <c r="C44" s="129">
        <v>5</v>
      </c>
      <c r="D44" s="130">
        <v>1</v>
      </c>
      <c r="E44" s="130">
        <v>1</v>
      </c>
      <c r="F44" s="130">
        <v>2</v>
      </c>
      <c r="G44" s="130">
        <v>1</v>
      </c>
      <c r="H44" s="130">
        <v>2</v>
      </c>
      <c r="I44" s="130">
        <v>0</v>
      </c>
      <c r="J44" s="130">
        <v>1</v>
      </c>
      <c r="K44" s="131"/>
      <c r="L44" s="166">
        <f t="shared" ref="L44:L56" si="88">SUM(C44:K44)</f>
        <v>13</v>
      </c>
      <c r="M44" s="95" t="str">
        <f>A48</f>
        <v>30～39歳(n = 196 )　　</v>
      </c>
      <c r="N44" s="88">
        <f t="shared" ref="N44:U44" si="89">C49</f>
        <v>90.384615384615387</v>
      </c>
      <c r="O44" s="89">
        <f t="shared" si="89"/>
        <v>65.384615384615387</v>
      </c>
      <c r="P44" s="89">
        <f t="shared" si="89"/>
        <v>12.5</v>
      </c>
      <c r="Q44" s="89">
        <f t="shared" si="89"/>
        <v>28.846153846153843</v>
      </c>
      <c r="R44" s="89">
        <f t="shared" si="89"/>
        <v>19.230769230769234</v>
      </c>
      <c r="S44" s="89">
        <f t="shared" si="89"/>
        <v>20.192307692307693</v>
      </c>
      <c r="T44" s="89">
        <f t="shared" si="89"/>
        <v>2.8846153846153846</v>
      </c>
      <c r="U44" s="91">
        <f t="shared" si="89"/>
        <v>0</v>
      </c>
    </row>
    <row r="45" spans="1:21" ht="12.75" customHeight="1" x14ac:dyDescent="0.2">
      <c r="A45" s="270"/>
      <c r="B45" s="114">
        <f t="shared" si="85"/>
        <v>0.86956521739130432</v>
      </c>
      <c r="C45" s="125">
        <v>71.428571428571431</v>
      </c>
      <c r="D45" s="126">
        <v>14.285714285714285</v>
      </c>
      <c r="E45" s="126">
        <v>14.285714285714285</v>
      </c>
      <c r="F45" s="126">
        <v>28.571428571428569</v>
      </c>
      <c r="G45" s="126">
        <v>14.285714285714285</v>
      </c>
      <c r="H45" s="126">
        <v>28.571428571428569</v>
      </c>
      <c r="I45" s="126">
        <v>0</v>
      </c>
      <c r="J45" s="126">
        <v>14.285714285714285</v>
      </c>
      <c r="K45" s="128"/>
      <c r="L45" s="166"/>
      <c r="M45" s="95" t="str">
        <f>A50</f>
        <v>40～49歳(n = 281 )　　</v>
      </c>
      <c r="N45" s="88">
        <f t="shared" ref="N45:U45" si="90">C51</f>
        <v>93.75</v>
      </c>
      <c r="O45" s="89">
        <f t="shared" si="90"/>
        <v>65.972222222222214</v>
      </c>
      <c r="P45" s="89">
        <f t="shared" si="90"/>
        <v>11.805555555555555</v>
      </c>
      <c r="Q45" s="89">
        <f t="shared" si="90"/>
        <v>21.527777777777779</v>
      </c>
      <c r="R45" s="89">
        <f t="shared" si="90"/>
        <v>9.0277777777777768</v>
      </c>
      <c r="S45" s="89">
        <f t="shared" si="90"/>
        <v>32.638888888888893</v>
      </c>
      <c r="T45" s="89">
        <f t="shared" si="90"/>
        <v>4.8611111111111116</v>
      </c>
      <c r="U45" s="91">
        <f t="shared" si="90"/>
        <v>0.69444444444444442</v>
      </c>
    </row>
    <row r="46" spans="1:21" ht="12.75" customHeight="1" x14ac:dyDescent="0.2">
      <c r="A46" s="269" t="str">
        <f>A26</f>
        <v>20～29歳(n = 119 )　　</v>
      </c>
      <c r="B46" s="113">
        <f t="shared" si="85"/>
        <v>43</v>
      </c>
      <c r="C46" s="129">
        <v>32</v>
      </c>
      <c r="D46" s="130">
        <v>34</v>
      </c>
      <c r="E46" s="130">
        <v>6</v>
      </c>
      <c r="F46" s="130">
        <v>10</v>
      </c>
      <c r="G46" s="130">
        <v>6</v>
      </c>
      <c r="H46" s="130">
        <v>2</v>
      </c>
      <c r="I46" s="130">
        <v>4</v>
      </c>
      <c r="J46" s="130">
        <v>0</v>
      </c>
      <c r="K46" s="131"/>
      <c r="L46" s="166">
        <f t="shared" si="88"/>
        <v>94</v>
      </c>
      <c r="M46" s="95" t="str">
        <f>A52</f>
        <v>50～59歳(n = 320 )　　</v>
      </c>
      <c r="N46" s="88">
        <f t="shared" ref="N46:U46" si="91">C53</f>
        <v>91.017964071856284</v>
      </c>
      <c r="O46" s="89">
        <f t="shared" si="91"/>
        <v>77.245508982035929</v>
      </c>
      <c r="P46" s="89">
        <f t="shared" si="91"/>
        <v>23.952095808383234</v>
      </c>
      <c r="Q46" s="89">
        <f t="shared" si="91"/>
        <v>20.359281437125748</v>
      </c>
      <c r="R46" s="89">
        <f t="shared" si="91"/>
        <v>7.7844311377245514</v>
      </c>
      <c r="S46" s="89">
        <f t="shared" si="91"/>
        <v>13.17365269461078</v>
      </c>
      <c r="T46" s="89">
        <f t="shared" si="91"/>
        <v>4.7904191616766472</v>
      </c>
      <c r="U46" s="91">
        <f t="shared" si="91"/>
        <v>0</v>
      </c>
    </row>
    <row r="47" spans="1:21" ht="12.75" customHeight="1" x14ac:dyDescent="0.2">
      <c r="A47" s="270"/>
      <c r="B47" s="114">
        <f t="shared" si="85"/>
        <v>5.341614906832298</v>
      </c>
      <c r="C47" s="125">
        <v>74.418604651162795</v>
      </c>
      <c r="D47" s="126">
        <v>79.069767441860463</v>
      </c>
      <c r="E47" s="126">
        <v>13.953488372093023</v>
      </c>
      <c r="F47" s="126">
        <v>23.255813953488371</v>
      </c>
      <c r="G47" s="126">
        <v>13.953488372093023</v>
      </c>
      <c r="H47" s="126">
        <v>4.6511627906976747</v>
      </c>
      <c r="I47" s="126">
        <v>9.3023255813953494</v>
      </c>
      <c r="J47" s="126">
        <v>0</v>
      </c>
      <c r="K47" s="128"/>
      <c r="L47" s="166"/>
      <c r="M47" s="95" t="str">
        <f>A54</f>
        <v>60～69歳(n = 352 )　　</v>
      </c>
      <c r="N47" s="88">
        <f t="shared" ref="N47:U47" si="92">C55</f>
        <v>86.206896551724128</v>
      </c>
      <c r="O47" s="89">
        <f t="shared" si="92"/>
        <v>64.942528735632195</v>
      </c>
      <c r="P47" s="89">
        <f t="shared" si="92"/>
        <v>44.252873563218394</v>
      </c>
      <c r="Q47" s="89">
        <f t="shared" si="92"/>
        <v>24.137931034482758</v>
      </c>
      <c r="R47" s="89">
        <f t="shared" si="92"/>
        <v>13.218390804597702</v>
      </c>
      <c r="S47" s="89">
        <f t="shared" si="92"/>
        <v>0</v>
      </c>
      <c r="T47" s="89">
        <f t="shared" si="92"/>
        <v>4.0229885057471266</v>
      </c>
      <c r="U47" s="91">
        <f t="shared" si="92"/>
        <v>0</v>
      </c>
    </row>
    <row r="48" spans="1:21" ht="13.5" customHeight="1" x14ac:dyDescent="0.2">
      <c r="A48" s="269" t="str">
        <f>A28</f>
        <v>30～39歳(n = 196 )　　</v>
      </c>
      <c r="B48" s="113">
        <f t="shared" si="85"/>
        <v>104</v>
      </c>
      <c r="C48" s="129">
        <v>94</v>
      </c>
      <c r="D48" s="130">
        <v>68</v>
      </c>
      <c r="E48" s="130">
        <v>13</v>
      </c>
      <c r="F48" s="130">
        <v>30</v>
      </c>
      <c r="G48" s="130">
        <v>20</v>
      </c>
      <c r="H48" s="130">
        <v>21</v>
      </c>
      <c r="I48" s="130">
        <v>3</v>
      </c>
      <c r="J48" s="130">
        <v>0</v>
      </c>
      <c r="K48" s="131"/>
      <c r="L48" s="166">
        <f t="shared" si="88"/>
        <v>249</v>
      </c>
      <c r="M48" s="94" t="str">
        <f>A56</f>
        <v>70歳以上(n = 315 )　　</v>
      </c>
      <c r="N48" s="78">
        <f t="shared" ref="N48:U48" si="93">C57</f>
        <v>90.361445783132538</v>
      </c>
      <c r="O48" s="79">
        <f t="shared" si="93"/>
        <v>52.409638554216862</v>
      </c>
      <c r="P48" s="79">
        <f t="shared" si="93"/>
        <v>40.963855421686745</v>
      </c>
      <c r="Q48" s="79">
        <f t="shared" si="93"/>
        <v>22.891566265060241</v>
      </c>
      <c r="R48" s="79">
        <f t="shared" si="93"/>
        <v>26.506024096385545</v>
      </c>
      <c r="S48" s="79">
        <f t="shared" si="93"/>
        <v>1.2048192771084338</v>
      </c>
      <c r="T48" s="79">
        <f t="shared" si="93"/>
        <v>6.024096385542169</v>
      </c>
      <c r="U48" s="81">
        <f t="shared" si="93"/>
        <v>0</v>
      </c>
    </row>
    <row r="49" spans="1:17" x14ac:dyDescent="0.2">
      <c r="A49" s="270"/>
      <c r="B49" s="114">
        <f t="shared" si="85"/>
        <v>12.919254658385093</v>
      </c>
      <c r="C49" s="125">
        <v>90.384615384615387</v>
      </c>
      <c r="D49" s="126">
        <v>65.384615384615387</v>
      </c>
      <c r="E49" s="126">
        <v>12.5</v>
      </c>
      <c r="F49" s="126">
        <v>28.846153846153843</v>
      </c>
      <c r="G49" s="126">
        <v>19.230769230769234</v>
      </c>
      <c r="H49" s="126">
        <v>20.192307692307693</v>
      </c>
      <c r="I49" s="126">
        <v>2.8846153846153846</v>
      </c>
      <c r="J49" s="126">
        <v>0</v>
      </c>
      <c r="K49" s="128"/>
      <c r="L49" s="166"/>
    </row>
    <row r="50" spans="1:17" x14ac:dyDescent="0.2">
      <c r="A50" s="269" t="str">
        <f>A30</f>
        <v>40～49歳(n = 281 )　　</v>
      </c>
      <c r="B50" s="113">
        <f t="shared" si="85"/>
        <v>144</v>
      </c>
      <c r="C50" s="129">
        <v>135</v>
      </c>
      <c r="D50" s="130">
        <v>95</v>
      </c>
      <c r="E50" s="130">
        <v>17</v>
      </c>
      <c r="F50" s="130">
        <v>31</v>
      </c>
      <c r="G50" s="130">
        <v>13</v>
      </c>
      <c r="H50" s="130">
        <v>47</v>
      </c>
      <c r="I50" s="130">
        <v>7</v>
      </c>
      <c r="J50" s="130">
        <v>1</v>
      </c>
      <c r="K50" s="131"/>
      <c r="L50" s="166">
        <f t="shared" si="88"/>
        <v>346</v>
      </c>
    </row>
    <row r="51" spans="1:17" x14ac:dyDescent="0.2">
      <c r="A51" s="270"/>
      <c r="B51" s="114">
        <f t="shared" si="85"/>
        <v>17.888198757763977</v>
      </c>
      <c r="C51" s="125">
        <v>93.75</v>
      </c>
      <c r="D51" s="126">
        <v>65.972222222222214</v>
      </c>
      <c r="E51" s="126">
        <v>11.805555555555555</v>
      </c>
      <c r="F51" s="126">
        <v>21.527777777777779</v>
      </c>
      <c r="G51" s="126">
        <v>9.0277777777777768</v>
      </c>
      <c r="H51" s="126">
        <v>32.638888888888893</v>
      </c>
      <c r="I51" s="126">
        <v>4.8611111111111116</v>
      </c>
      <c r="J51" s="126">
        <v>0.69444444444444442</v>
      </c>
      <c r="K51" s="128"/>
      <c r="L51" s="166"/>
    </row>
    <row r="52" spans="1:17" x14ac:dyDescent="0.2">
      <c r="A52" s="269" t="str">
        <f>A32</f>
        <v>50～59歳(n = 320 )　　</v>
      </c>
      <c r="B52" s="113">
        <f t="shared" si="85"/>
        <v>167</v>
      </c>
      <c r="C52" s="129">
        <v>152</v>
      </c>
      <c r="D52" s="130">
        <v>129</v>
      </c>
      <c r="E52" s="130">
        <v>40</v>
      </c>
      <c r="F52" s="130">
        <v>34</v>
      </c>
      <c r="G52" s="130">
        <v>13</v>
      </c>
      <c r="H52" s="130">
        <v>22</v>
      </c>
      <c r="I52" s="130">
        <v>8</v>
      </c>
      <c r="J52" s="130">
        <v>0</v>
      </c>
      <c r="K52" s="131"/>
      <c r="L52" s="166">
        <f t="shared" si="88"/>
        <v>398</v>
      </c>
    </row>
    <row r="53" spans="1:17" x14ac:dyDescent="0.2">
      <c r="A53" s="270"/>
      <c r="B53" s="114">
        <f t="shared" si="85"/>
        <v>20.745341614906831</v>
      </c>
      <c r="C53" s="125">
        <v>91.017964071856284</v>
      </c>
      <c r="D53" s="126">
        <v>77.245508982035929</v>
      </c>
      <c r="E53" s="126">
        <v>23.952095808383234</v>
      </c>
      <c r="F53" s="126">
        <v>20.359281437125748</v>
      </c>
      <c r="G53" s="126">
        <v>7.7844311377245514</v>
      </c>
      <c r="H53" s="126">
        <v>13.17365269461078</v>
      </c>
      <c r="I53" s="126">
        <v>4.7904191616766472</v>
      </c>
      <c r="J53" s="126">
        <v>0</v>
      </c>
      <c r="K53" s="128"/>
      <c r="L53" s="166"/>
    </row>
    <row r="54" spans="1:17" x14ac:dyDescent="0.2">
      <c r="A54" s="269" t="str">
        <f>A34</f>
        <v>60～69歳(n = 352 )　　</v>
      </c>
      <c r="B54" s="113">
        <f t="shared" si="85"/>
        <v>174</v>
      </c>
      <c r="C54" s="129">
        <v>150</v>
      </c>
      <c r="D54" s="130">
        <v>113</v>
      </c>
      <c r="E54" s="130">
        <v>77</v>
      </c>
      <c r="F54" s="130">
        <v>42</v>
      </c>
      <c r="G54" s="130">
        <v>23</v>
      </c>
      <c r="H54" s="130">
        <v>0</v>
      </c>
      <c r="I54" s="130">
        <v>7</v>
      </c>
      <c r="J54" s="130">
        <v>0</v>
      </c>
      <c r="K54" s="131"/>
      <c r="L54" s="166">
        <f>SUM(C54:K54)</f>
        <v>412</v>
      </c>
    </row>
    <row r="55" spans="1:17" x14ac:dyDescent="0.2">
      <c r="A55" s="270"/>
      <c r="B55" s="114">
        <f t="shared" si="85"/>
        <v>21.614906832298136</v>
      </c>
      <c r="C55" s="125">
        <v>86.206896551724128</v>
      </c>
      <c r="D55" s="126">
        <v>64.942528735632195</v>
      </c>
      <c r="E55" s="126">
        <v>44.252873563218394</v>
      </c>
      <c r="F55" s="126">
        <v>24.137931034482758</v>
      </c>
      <c r="G55" s="126">
        <v>13.218390804597702</v>
      </c>
      <c r="H55" s="126">
        <v>0</v>
      </c>
      <c r="I55" s="126">
        <v>4.0229885057471266</v>
      </c>
      <c r="J55" s="126">
        <v>0</v>
      </c>
      <c r="K55" s="128"/>
      <c r="L55" s="166"/>
    </row>
    <row r="56" spans="1:17" x14ac:dyDescent="0.2">
      <c r="A56" s="269" t="str">
        <f>A36</f>
        <v>70歳以上(n = 315 )　　</v>
      </c>
      <c r="B56" s="113">
        <f t="shared" si="85"/>
        <v>166</v>
      </c>
      <c r="C56" s="129">
        <v>150</v>
      </c>
      <c r="D56" s="130">
        <v>87</v>
      </c>
      <c r="E56" s="130">
        <v>68</v>
      </c>
      <c r="F56" s="130">
        <v>38</v>
      </c>
      <c r="G56" s="130">
        <v>44</v>
      </c>
      <c r="H56" s="130">
        <v>2</v>
      </c>
      <c r="I56" s="130">
        <v>10</v>
      </c>
      <c r="J56" s="130">
        <v>0</v>
      </c>
      <c r="K56" s="131"/>
      <c r="L56" s="166">
        <f t="shared" si="88"/>
        <v>399</v>
      </c>
    </row>
    <row r="57" spans="1:17" x14ac:dyDescent="0.2">
      <c r="A57" s="270"/>
      <c r="B57" s="114">
        <f>B37</f>
        <v>20.621118012422361</v>
      </c>
      <c r="C57" s="125">
        <v>90.361445783132538</v>
      </c>
      <c r="D57" s="126">
        <v>52.409638554216862</v>
      </c>
      <c r="E57" s="126">
        <v>40.963855421686745</v>
      </c>
      <c r="F57" s="126">
        <v>22.891566265060241</v>
      </c>
      <c r="G57" s="126">
        <v>26.506024096385545</v>
      </c>
      <c r="H57" s="126">
        <v>1.2048192771084338</v>
      </c>
      <c r="I57" s="126">
        <v>6.024096385542169</v>
      </c>
      <c r="J57" s="126">
        <v>0</v>
      </c>
      <c r="K57" s="128"/>
      <c r="L57" s="166"/>
    </row>
    <row r="58" spans="1:17" x14ac:dyDescent="0.2">
      <c r="M58" s="8"/>
      <c r="N58" s="8"/>
      <c r="O58" s="8"/>
      <c r="P58" s="8"/>
    </row>
    <row r="59" spans="1:17" x14ac:dyDescent="0.2">
      <c r="A59" s="3" t="s">
        <v>151</v>
      </c>
      <c r="B59" s="1" t="str">
        <f>B20</f>
        <v>くらしが苦しくなったと感じる理由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</row>
    <row r="60" spans="1:17" ht="67.5" customHeight="1" x14ac:dyDescent="0.2">
      <c r="A60" s="13" t="s">
        <v>27</v>
      </c>
      <c r="B60" s="59" t="str">
        <f>B21</f>
        <v>調査数</v>
      </c>
      <c r="C60" s="60" t="str">
        <f t="shared" ref="C60:K60" si="94">C21</f>
        <v>給料等の収入が増えない、または減った</v>
      </c>
      <c r="D60" s="61" t="str">
        <f t="shared" si="94"/>
        <v>食品や日用品、光熱費などの
物価上昇による支出が増えた</v>
      </c>
      <c r="E60" s="61" t="str">
        <f t="shared" si="94"/>
        <v>医療・介護費の支出が増えた</v>
      </c>
      <c r="F60" s="61" t="str">
        <f t="shared" si="94"/>
        <v>保育・教育費の支出が増えた</v>
      </c>
      <c r="G60" s="61" t="str">
        <f t="shared" si="94"/>
        <v>税金の支出が増えた</v>
      </c>
      <c r="H60" s="61" t="str">
        <f t="shared" si="94"/>
        <v>各種保険料などの支出が増えた</v>
      </c>
      <c r="I60" s="61" t="str">
        <f t="shared" si="94"/>
        <v>その他</v>
      </c>
      <c r="J60" s="61" t="str">
        <f t="shared" si="94"/>
        <v>わからない</v>
      </c>
      <c r="K60" s="63" t="str">
        <f t="shared" si="94"/>
        <v>無回答</v>
      </c>
      <c r="L60" s="5" t="s">
        <v>117</v>
      </c>
      <c r="M60" s="202" t="s">
        <v>242</v>
      </c>
    </row>
    <row r="61" spans="1:17" x14ac:dyDescent="0.2">
      <c r="A61" s="269" t="str">
        <f>A42</f>
        <v>全体(n = 808 )　　</v>
      </c>
      <c r="B61" s="34">
        <v>794</v>
      </c>
      <c r="C61" s="31">
        <f>SUM(C63,C65,C67,C69,C71)</f>
        <v>517</v>
      </c>
      <c r="D61" s="32">
        <f t="shared" ref="D61:J61" si="95">SUM(D63,D65,D67,D69,D71)</f>
        <v>709</v>
      </c>
      <c r="E61" s="32">
        <f t="shared" si="95"/>
        <v>220</v>
      </c>
      <c r="F61" s="32">
        <f t="shared" si="95"/>
        <v>92</v>
      </c>
      <c r="G61" s="32">
        <f t="shared" si="95"/>
        <v>185</v>
      </c>
      <c r="H61" s="32">
        <f t="shared" si="95"/>
        <v>120</v>
      </c>
      <c r="I61" s="32">
        <f t="shared" si="95"/>
        <v>37</v>
      </c>
      <c r="J61" s="32">
        <f t="shared" si="95"/>
        <v>2</v>
      </c>
      <c r="K61" s="33"/>
      <c r="L61" s="5">
        <f>SUM($C61:K61)</f>
        <v>1882</v>
      </c>
      <c r="M61" s="166">
        <f>B61</f>
        <v>794</v>
      </c>
    </row>
    <row r="62" spans="1:17" x14ac:dyDescent="0.2">
      <c r="A62" s="270"/>
      <c r="B62" s="35"/>
      <c r="C62" s="20">
        <f t="shared" ref="C62:J72" si="96">C61/$B61*100</f>
        <v>65.113350125944578</v>
      </c>
      <c r="D62" s="207">
        <f t="shared" si="96"/>
        <v>89.294710327455917</v>
      </c>
      <c r="E62" s="207">
        <f t="shared" si="96"/>
        <v>27.70780856423174</v>
      </c>
      <c r="F62" s="207">
        <f t="shared" si="96"/>
        <v>11.586901763224182</v>
      </c>
      <c r="G62" s="207">
        <f t="shared" si="96"/>
        <v>23.299748110831235</v>
      </c>
      <c r="H62" s="207">
        <f t="shared" si="96"/>
        <v>15.113350125944585</v>
      </c>
      <c r="I62" s="207">
        <f t="shared" si="96"/>
        <v>4.6599496221662466</v>
      </c>
      <c r="J62" s="207">
        <f t="shared" si="96"/>
        <v>0.25188916876574308</v>
      </c>
      <c r="K62" s="208"/>
      <c r="L62" s="5"/>
    </row>
    <row r="63" spans="1:17" ht="13.5" customHeight="1" x14ac:dyDescent="0.2">
      <c r="A63" s="273" t="str">
        <f>'問1S（表）'!A64</f>
        <v>岐阜圏域(n = 617 )　　</v>
      </c>
      <c r="B63" s="34">
        <v>314</v>
      </c>
      <c r="C63" s="28">
        <v>204</v>
      </c>
      <c r="D63" s="29">
        <v>279</v>
      </c>
      <c r="E63" s="29">
        <v>81</v>
      </c>
      <c r="F63" s="29">
        <v>37</v>
      </c>
      <c r="G63" s="29">
        <v>69</v>
      </c>
      <c r="H63" s="29">
        <v>56</v>
      </c>
      <c r="I63" s="29">
        <v>17</v>
      </c>
      <c r="J63" s="29">
        <v>0</v>
      </c>
      <c r="K63" s="30"/>
      <c r="L63" s="5">
        <f>SUM($C63:K63)</f>
        <v>743</v>
      </c>
      <c r="M63" s="166">
        <f>B63</f>
        <v>314</v>
      </c>
      <c r="N63" t="str">
        <f>" 岐阜圏域（N = "&amp;L63&amp;" : n = "&amp;M63&amp;"）"</f>
        <v xml:space="preserve"> 岐阜圏域（N = 743 : n = 314）</v>
      </c>
      <c r="Q63">
        <v>1</v>
      </c>
    </row>
    <row r="64" spans="1:17" x14ac:dyDescent="0.2">
      <c r="A64" s="274"/>
      <c r="B64" s="20">
        <f>B63/$B$61*100</f>
        <v>39.54659949622166</v>
      </c>
      <c r="C64" s="20">
        <f t="shared" si="96"/>
        <v>64.968152866242036</v>
      </c>
      <c r="D64" s="207">
        <f t="shared" si="96"/>
        <v>88.853503184713375</v>
      </c>
      <c r="E64" s="207">
        <f t="shared" si="96"/>
        <v>25.796178343949045</v>
      </c>
      <c r="F64" s="207">
        <f t="shared" si="96"/>
        <v>11.783439490445859</v>
      </c>
      <c r="G64" s="207">
        <f t="shared" si="96"/>
        <v>21.97452229299363</v>
      </c>
      <c r="H64" s="207">
        <f t="shared" si="96"/>
        <v>17.834394904458598</v>
      </c>
      <c r="I64" s="207">
        <f t="shared" si="96"/>
        <v>5.4140127388535033</v>
      </c>
      <c r="J64" s="207">
        <f t="shared" si="96"/>
        <v>0</v>
      </c>
      <c r="K64" s="208"/>
      <c r="L64" s="5"/>
    </row>
    <row r="65" spans="1:21" ht="13.5" customHeight="1" x14ac:dyDescent="0.2">
      <c r="A65" s="273" t="str">
        <f>'問1S（表）'!A66</f>
        <v>西濃圏域(n = 290 )　　</v>
      </c>
      <c r="B65" s="34">
        <v>139</v>
      </c>
      <c r="C65" s="28">
        <v>87</v>
      </c>
      <c r="D65" s="29">
        <v>120</v>
      </c>
      <c r="E65" s="29">
        <v>40</v>
      </c>
      <c r="F65" s="29">
        <v>18</v>
      </c>
      <c r="G65" s="29">
        <v>38</v>
      </c>
      <c r="H65" s="29">
        <v>23</v>
      </c>
      <c r="I65" s="29">
        <v>5</v>
      </c>
      <c r="J65" s="29">
        <v>2</v>
      </c>
      <c r="K65" s="30"/>
      <c r="L65" s="5">
        <f>SUM($C65:K65)</f>
        <v>333</v>
      </c>
      <c r="M65" s="166">
        <f>B65</f>
        <v>139</v>
      </c>
      <c r="N65" t="str">
        <f>" 西濃圏域（N = "&amp;L65&amp;" : n = "&amp;M65&amp;"）"</f>
        <v xml:space="preserve"> 西濃圏域（N = 333 : n = 139）</v>
      </c>
      <c r="Q65">
        <v>2</v>
      </c>
    </row>
    <row r="66" spans="1:21" x14ac:dyDescent="0.2">
      <c r="A66" s="274"/>
      <c r="B66" s="20">
        <f>B65/$B$61*100</f>
        <v>17.506297229219143</v>
      </c>
      <c r="C66" s="20">
        <f t="shared" si="96"/>
        <v>62.589928057553955</v>
      </c>
      <c r="D66" s="207">
        <f t="shared" si="96"/>
        <v>86.330935251798564</v>
      </c>
      <c r="E66" s="207">
        <f t="shared" si="96"/>
        <v>28.776978417266186</v>
      </c>
      <c r="F66" s="207">
        <f t="shared" si="96"/>
        <v>12.949640287769784</v>
      </c>
      <c r="G66" s="207">
        <f t="shared" si="96"/>
        <v>27.338129496402878</v>
      </c>
      <c r="H66" s="207">
        <f t="shared" si="96"/>
        <v>16.546762589928058</v>
      </c>
      <c r="I66" s="207">
        <f t="shared" si="96"/>
        <v>3.5971223021582732</v>
      </c>
      <c r="J66" s="207">
        <f t="shared" si="96"/>
        <v>1.4388489208633095</v>
      </c>
      <c r="K66" s="208"/>
      <c r="L66" s="5"/>
    </row>
    <row r="67" spans="1:21" ht="13.5" customHeight="1" x14ac:dyDescent="0.2">
      <c r="A67" s="273" t="str">
        <f>'問1S（表）'!A68</f>
        <v>中濃圏域(n = 300 )　　</v>
      </c>
      <c r="B67" s="34">
        <v>153</v>
      </c>
      <c r="C67" s="28">
        <v>100</v>
      </c>
      <c r="D67" s="29">
        <v>138</v>
      </c>
      <c r="E67" s="29">
        <v>38</v>
      </c>
      <c r="F67" s="29">
        <v>19</v>
      </c>
      <c r="G67" s="29">
        <v>40</v>
      </c>
      <c r="H67" s="29">
        <v>22</v>
      </c>
      <c r="I67" s="29">
        <v>7</v>
      </c>
      <c r="J67" s="29">
        <v>0</v>
      </c>
      <c r="K67" s="30"/>
      <c r="L67" s="5">
        <f>SUM($C67:K67)</f>
        <v>364</v>
      </c>
      <c r="M67" s="166">
        <f>B67</f>
        <v>153</v>
      </c>
      <c r="N67" t="str">
        <f>" 中濃圏域（N = "&amp;L67&amp;" : n = "&amp;M67&amp;"）"</f>
        <v xml:space="preserve"> 中濃圏域（N = 364 : n = 153）</v>
      </c>
      <c r="Q67">
        <v>3</v>
      </c>
    </row>
    <row r="68" spans="1:21" x14ac:dyDescent="0.2">
      <c r="A68" s="274"/>
      <c r="B68" s="20">
        <f>B67/$B$61*100</f>
        <v>19.269521410579348</v>
      </c>
      <c r="C68" s="20">
        <f t="shared" si="96"/>
        <v>65.359477124183002</v>
      </c>
      <c r="D68" s="207">
        <f t="shared" si="96"/>
        <v>90.196078431372555</v>
      </c>
      <c r="E68" s="207">
        <f t="shared" si="96"/>
        <v>24.836601307189543</v>
      </c>
      <c r="F68" s="207">
        <f t="shared" si="96"/>
        <v>12.418300653594772</v>
      </c>
      <c r="G68" s="207">
        <f t="shared" si="96"/>
        <v>26.143790849673206</v>
      </c>
      <c r="H68" s="207">
        <f t="shared" si="96"/>
        <v>14.37908496732026</v>
      </c>
      <c r="I68" s="207">
        <f t="shared" si="96"/>
        <v>4.5751633986928102</v>
      </c>
      <c r="J68" s="207">
        <f t="shared" si="96"/>
        <v>0</v>
      </c>
      <c r="K68" s="208"/>
      <c r="L68" s="5"/>
    </row>
    <row r="69" spans="1:21" ht="13.5" customHeight="1" x14ac:dyDescent="0.2">
      <c r="A69" s="273" t="str">
        <f>'問1S（表）'!A70</f>
        <v>東濃圏域(n = 271 )　　</v>
      </c>
      <c r="B69" s="34">
        <v>138</v>
      </c>
      <c r="C69" s="28">
        <v>95</v>
      </c>
      <c r="D69" s="29">
        <v>126</v>
      </c>
      <c r="E69" s="29">
        <v>45</v>
      </c>
      <c r="F69" s="29">
        <v>13</v>
      </c>
      <c r="G69" s="29">
        <v>28</v>
      </c>
      <c r="H69" s="29">
        <v>14</v>
      </c>
      <c r="I69" s="29">
        <v>8</v>
      </c>
      <c r="J69" s="29">
        <v>0</v>
      </c>
      <c r="K69" s="30"/>
      <c r="L69" s="5">
        <f>SUM($C69:K69)</f>
        <v>329</v>
      </c>
      <c r="M69" s="166">
        <f>B69</f>
        <v>138</v>
      </c>
      <c r="N69" t="str">
        <f>" 東濃圏域（N = "&amp;L69&amp;" : n = "&amp;M69&amp;"）"</f>
        <v xml:space="preserve"> 東濃圏域（N = 329 : n = 138）</v>
      </c>
      <c r="Q69">
        <v>4</v>
      </c>
    </row>
    <row r="70" spans="1:21" x14ac:dyDescent="0.2">
      <c r="A70" s="274"/>
      <c r="B70" s="20">
        <f>B69/$B$61*100</f>
        <v>17.380352644836272</v>
      </c>
      <c r="C70" s="20">
        <f t="shared" si="96"/>
        <v>68.840579710144922</v>
      </c>
      <c r="D70" s="207">
        <f t="shared" si="96"/>
        <v>91.304347826086953</v>
      </c>
      <c r="E70" s="207">
        <f t="shared" si="96"/>
        <v>32.608695652173914</v>
      </c>
      <c r="F70" s="207">
        <f t="shared" si="96"/>
        <v>9.4202898550724647</v>
      </c>
      <c r="G70" s="207">
        <f t="shared" si="96"/>
        <v>20.289855072463769</v>
      </c>
      <c r="H70" s="207">
        <f t="shared" si="96"/>
        <v>10.144927536231885</v>
      </c>
      <c r="I70" s="207">
        <f t="shared" si="96"/>
        <v>5.7971014492753623</v>
      </c>
      <c r="J70" s="207">
        <f t="shared" si="96"/>
        <v>0</v>
      </c>
      <c r="K70" s="208"/>
      <c r="L70" s="5"/>
    </row>
    <row r="71" spans="1:21" ht="13.5" customHeight="1" x14ac:dyDescent="0.2">
      <c r="A71" s="273" t="str">
        <f>'問1S（表）'!A72</f>
        <v>飛騨圏域(n = 106 )　　</v>
      </c>
      <c r="B71" s="34">
        <v>50</v>
      </c>
      <c r="C71" s="28">
        <v>31</v>
      </c>
      <c r="D71" s="29">
        <v>46</v>
      </c>
      <c r="E71" s="29">
        <v>16</v>
      </c>
      <c r="F71" s="29">
        <v>5</v>
      </c>
      <c r="G71" s="29">
        <v>10</v>
      </c>
      <c r="H71" s="29">
        <v>5</v>
      </c>
      <c r="I71" s="29">
        <v>0</v>
      </c>
      <c r="J71" s="29">
        <v>0</v>
      </c>
      <c r="K71" s="30"/>
      <c r="L71" s="5">
        <f>SUM($C71:K71)</f>
        <v>113</v>
      </c>
      <c r="M71" s="166">
        <f>B71</f>
        <v>50</v>
      </c>
      <c r="N71" t="str">
        <f>" 飛騨圏域（N = "&amp;L71&amp;" : n = "&amp;M71&amp;"）"</f>
        <v xml:space="preserve"> 飛騨圏域（N = 113 : n = 50）</v>
      </c>
      <c r="Q71">
        <v>5</v>
      </c>
    </row>
    <row r="72" spans="1:21" x14ac:dyDescent="0.2">
      <c r="A72" s="274"/>
      <c r="B72" s="20">
        <f>B71/$B$61*100</f>
        <v>6.2972292191435768</v>
      </c>
      <c r="C72" s="20">
        <f t="shared" si="96"/>
        <v>62</v>
      </c>
      <c r="D72" s="207">
        <f t="shared" si="96"/>
        <v>92</v>
      </c>
      <c r="E72" s="207">
        <f t="shared" si="96"/>
        <v>32</v>
      </c>
      <c r="F72" s="207">
        <f t="shared" si="96"/>
        <v>10</v>
      </c>
      <c r="G72" s="207">
        <f t="shared" si="96"/>
        <v>20</v>
      </c>
      <c r="H72" s="207">
        <f t="shared" si="96"/>
        <v>10</v>
      </c>
      <c r="I72" s="207">
        <f t="shared" si="96"/>
        <v>0</v>
      </c>
      <c r="J72" s="207">
        <f t="shared" si="96"/>
        <v>0</v>
      </c>
      <c r="K72" s="208"/>
      <c r="L72" s="5"/>
    </row>
    <row r="73" spans="1:21" x14ac:dyDescent="0.2">
      <c r="A73" s="187"/>
      <c r="B73" s="22"/>
      <c r="C73" s="172">
        <f>_xlfn.RANK.EQ(C62,$C$62:$K$62,0)</f>
        <v>2</v>
      </c>
      <c r="D73" s="172">
        <f t="shared" ref="D73:K73" si="97">_xlfn.RANK.EQ(D62,$C$62:$K$62,0)</f>
        <v>1</v>
      </c>
      <c r="E73" s="172">
        <f t="shared" si="97"/>
        <v>3</v>
      </c>
      <c r="F73" s="172">
        <f t="shared" si="97"/>
        <v>6</v>
      </c>
      <c r="G73" s="172">
        <f t="shared" si="97"/>
        <v>4</v>
      </c>
      <c r="H73" s="172">
        <f t="shared" si="97"/>
        <v>5</v>
      </c>
      <c r="I73" s="172">
        <f t="shared" si="97"/>
        <v>7</v>
      </c>
      <c r="J73" s="172">
        <f t="shared" si="97"/>
        <v>8</v>
      </c>
      <c r="K73" s="172" t="e">
        <f t="shared" si="97"/>
        <v>#N/A</v>
      </c>
    </row>
    <row r="74" spans="1:2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5"/>
    </row>
    <row r="75" spans="1:2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8</v>
      </c>
      <c r="M75" s="45"/>
      <c r="N75" s="27">
        <v>1</v>
      </c>
      <c r="O75" s="27">
        <v>2</v>
      </c>
      <c r="P75" s="27">
        <v>3</v>
      </c>
      <c r="Q75" s="27">
        <v>4</v>
      </c>
      <c r="R75" s="27">
        <v>5</v>
      </c>
      <c r="S75" s="27">
        <v>6</v>
      </c>
      <c r="T75" s="27">
        <v>7</v>
      </c>
      <c r="U75" s="27">
        <v>8</v>
      </c>
    </row>
    <row r="76" spans="1:21" ht="67.5" customHeight="1" x14ac:dyDescent="0.2">
      <c r="A76" s="12" t="str">
        <f>A60</f>
        <v>【居住圏域別】</v>
      </c>
      <c r="B76" s="59" t="str">
        <f t="shared" ref="B76" si="98">B41</f>
        <v>調査数</v>
      </c>
      <c r="C76" s="60" t="s">
        <v>190</v>
      </c>
      <c r="D76" s="61" t="s">
        <v>189</v>
      </c>
      <c r="E76" s="61" t="s">
        <v>191</v>
      </c>
      <c r="F76" s="61" t="s">
        <v>192</v>
      </c>
      <c r="G76" s="61" t="s">
        <v>193</v>
      </c>
      <c r="H76" s="61" t="s">
        <v>194</v>
      </c>
      <c r="I76" s="61" t="s">
        <v>57</v>
      </c>
      <c r="J76" s="61" t="s">
        <v>23</v>
      </c>
      <c r="K76" s="63" t="s">
        <v>175</v>
      </c>
      <c r="L76" s="44" t="s">
        <v>32</v>
      </c>
      <c r="M76" s="12" t="str">
        <f>A76</f>
        <v>【居住圏域別】</v>
      </c>
      <c r="N76" s="60" t="str">
        <f>C$12</f>
        <v>食品や日用品、光熱費などの
物価上昇による支出が増えた</v>
      </c>
      <c r="O76" s="61" t="str">
        <f t="shared" ref="O76" si="99">D$12</f>
        <v>給料等の収入が増えない、または減った</v>
      </c>
      <c r="P76" s="61" t="str">
        <f t="shared" ref="P76" si="100">E$12</f>
        <v>医療・介護費の支出が増えた</v>
      </c>
      <c r="Q76" s="61" t="str">
        <f t="shared" ref="Q76" si="101">F$12</f>
        <v>税金の支出が増えた</v>
      </c>
      <c r="R76" s="61" t="str">
        <f t="shared" ref="R76" si="102">G$12</f>
        <v>各種保険料などの支出が増えた</v>
      </c>
      <c r="S76" s="61" t="str">
        <f t="shared" ref="S76" si="103">H$12</f>
        <v>保育・教育費の支出が増えた</v>
      </c>
      <c r="T76" s="61" t="str">
        <f t="shared" ref="T76" si="104">I$12</f>
        <v>その他</v>
      </c>
      <c r="U76" s="63" t="str">
        <f t="shared" ref="U76" si="105">J$12</f>
        <v>わからない</v>
      </c>
    </row>
    <row r="77" spans="1:21" ht="12.75" customHeight="1" x14ac:dyDescent="0.2">
      <c r="A77" s="269" t="str">
        <f>A61</f>
        <v>全体(n = 808 )　　</v>
      </c>
      <c r="B77" s="113">
        <f>B61</f>
        <v>794</v>
      </c>
      <c r="C77" s="129">
        <v>709</v>
      </c>
      <c r="D77" s="130">
        <v>517</v>
      </c>
      <c r="E77" s="130">
        <v>220</v>
      </c>
      <c r="F77" s="130">
        <v>185</v>
      </c>
      <c r="G77" s="130">
        <v>120</v>
      </c>
      <c r="H77" s="130">
        <v>92</v>
      </c>
      <c r="I77" s="130">
        <v>37</v>
      </c>
      <c r="J77" s="130">
        <v>2</v>
      </c>
      <c r="K77" s="131"/>
      <c r="M77" s="93" t="str">
        <f>A79</f>
        <v>岐阜圏域(n = 617 )　　</v>
      </c>
      <c r="N77" s="84">
        <f t="shared" ref="N77:U77" si="106">C80</f>
        <v>88.853503184713375</v>
      </c>
      <c r="O77" s="85">
        <f t="shared" si="106"/>
        <v>64.968152866242036</v>
      </c>
      <c r="P77" s="85">
        <f t="shared" si="106"/>
        <v>25.796178343949045</v>
      </c>
      <c r="Q77" s="85">
        <f t="shared" si="106"/>
        <v>21.97452229299363</v>
      </c>
      <c r="R77" s="85">
        <f t="shared" si="106"/>
        <v>17.834394904458598</v>
      </c>
      <c r="S77" s="85">
        <f t="shared" si="106"/>
        <v>11.783439490445859</v>
      </c>
      <c r="T77" s="85">
        <f t="shared" si="106"/>
        <v>5.4140127388535033</v>
      </c>
      <c r="U77" s="87">
        <f t="shared" si="106"/>
        <v>0</v>
      </c>
    </row>
    <row r="78" spans="1:21" ht="12.75" customHeight="1" x14ac:dyDescent="0.2">
      <c r="A78" s="270"/>
      <c r="B78" s="114"/>
      <c r="C78" s="125">
        <v>89.294710327455917</v>
      </c>
      <c r="D78" s="126">
        <v>65.113350125944578</v>
      </c>
      <c r="E78" s="126">
        <v>27.70780856423174</v>
      </c>
      <c r="F78" s="126">
        <v>23.299748110831235</v>
      </c>
      <c r="G78" s="126">
        <v>15.113350125944585</v>
      </c>
      <c r="H78" s="126">
        <v>11.586901763224182</v>
      </c>
      <c r="I78" s="126">
        <v>4.6599496221662466</v>
      </c>
      <c r="J78" s="126">
        <v>0.25188916876574308</v>
      </c>
      <c r="K78" s="128"/>
      <c r="M78" s="95" t="str">
        <f>A81</f>
        <v>西濃圏域(n = 290 )　　</v>
      </c>
      <c r="N78" s="88">
        <f t="shared" ref="N78:U78" si="107">C82</f>
        <v>86.330935251798564</v>
      </c>
      <c r="O78" s="89">
        <f t="shared" si="107"/>
        <v>62.589928057553955</v>
      </c>
      <c r="P78" s="89">
        <f t="shared" si="107"/>
        <v>28.776978417266186</v>
      </c>
      <c r="Q78" s="89">
        <f t="shared" si="107"/>
        <v>27.338129496402878</v>
      </c>
      <c r="R78" s="89">
        <f t="shared" si="107"/>
        <v>16.546762589928058</v>
      </c>
      <c r="S78" s="89">
        <f t="shared" si="107"/>
        <v>12.949640287769784</v>
      </c>
      <c r="T78" s="89">
        <f t="shared" si="107"/>
        <v>3.5971223021582732</v>
      </c>
      <c r="U78" s="91">
        <f t="shared" si="107"/>
        <v>1.4388489208633095</v>
      </c>
    </row>
    <row r="79" spans="1:21" ht="12.75" customHeight="1" x14ac:dyDescent="0.2">
      <c r="A79" s="269" t="str">
        <f>A63</f>
        <v>岐阜圏域(n = 617 )　　</v>
      </c>
      <c r="B79" s="113">
        <f t="shared" ref="B79" si="108">B63</f>
        <v>314</v>
      </c>
      <c r="C79" s="121">
        <v>279</v>
      </c>
      <c r="D79" s="122">
        <v>204</v>
      </c>
      <c r="E79" s="122">
        <v>81</v>
      </c>
      <c r="F79" s="122">
        <v>69</v>
      </c>
      <c r="G79" s="122">
        <v>56</v>
      </c>
      <c r="H79" s="122">
        <v>37</v>
      </c>
      <c r="I79" s="122">
        <v>17</v>
      </c>
      <c r="J79" s="122">
        <v>0</v>
      </c>
      <c r="K79" s="124"/>
      <c r="M79" s="95" t="str">
        <f>A83</f>
        <v>中濃圏域(n = 300 )　　</v>
      </c>
      <c r="N79" s="88">
        <f t="shared" ref="N79:U79" si="109">C84</f>
        <v>90.196078431372555</v>
      </c>
      <c r="O79" s="89">
        <f t="shared" si="109"/>
        <v>65.359477124183002</v>
      </c>
      <c r="P79" s="89">
        <f t="shared" si="109"/>
        <v>24.836601307189543</v>
      </c>
      <c r="Q79" s="89">
        <f t="shared" si="109"/>
        <v>26.143790849673206</v>
      </c>
      <c r="R79" s="89">
        <f t="shared" si="109"/>
        <v>14.37908496732026</v>
      </c>
      <c r="S79" s="89">
        <f t="shared" si="109"/>
        <v>12.418300653594772</v>
      </c>
      <c r="T79" s="89">
        <f t="shared" si="109"/>
        <v>4.5751633986928102</v>
      </c>
      <c r="U79" s="91">
        <f t="shared" si="109"/>
        <v>0</v>
      </c>
    </row>
    <row r="80" spans="1:21" ht="12.75" customHeight="1" x14ac:dyDescent="0.2">
      <c r="A80" s="270"/>
      <c r="B80" s="125">
        <f t="shared" ref="B80" si="110">B64</f>
        <v>39.54659949622166</v>
      </c>
      <c r="C80" s="125">
        <v>88.853503184713375</v>
      </c>
      <c r="D80" s="126">
        <v>64.968152866242036</v>
      </c>
      <c r="E80" s="126">
        <v>25.796178343949045</v>
      </c>
      <c r="F80" s="126">
        <v>21.97452229299363</v>
      </c>
      <c r="G80" s="126">
        <v>17.834394904458598</v>
      </c>
      <c r="H80" s="126">
        <v>11.783439490445859</v>
      </c>
      <c r="I80" s="126">
        <v>5.4140127388535033</v>
      </c>
      <c r="J80" s="126">
        <v>0</v>
      </c>
      <c r="K80" s="128"/>
      <c r="M80" s="95" t="str">
        <f>A85</f>
        <v>東濃圏域(n = 271 )　　</v>
      </c>
      <c r="N80" s="88">
        <f t="shared" ref="N80:U80" si="111">C86</f>
        <v>91.304347826086953</v>
      </c>
      <c r="O80" s="89">
        <f t="shared" si="111"/>
        <v>68.840579710144922</v>
      </c>
      <c r="P80" s="89">
        <f t="shared" si="111"/>
        <v>32.608695652173914</v>
      </c>
      <c r="Q80" s="89">
        <f t="shared" si="111"/>
        <v>20.289855072463769</v>
      </c>
      <c r="R80" s="89">
        <f t="shared" si="111"/>
        <v>10.144927536231885</v>
      </c>
      <c r="S80" s="89">
        <f t="shared" si="111"/>
        <v>9.4202898550724647</v>
      </c>
      <c r="T80" s="89">
        <f t="shared" si="111"/>
        <v>5.7971014492753623</v>
      </c>
      <c r="U80" s="91">
        <f t="shared" si="111"/>
        <v>0</v>
      </c>
    </row>
    <row r="81" spans="1:21" ht="13.5" customHeight="1" x14ac:dyDescent="0.2">
      <c r="A81" s="269" t="str">
        <f>A65</f>
        <v>西濃圏域(n = 290 )　　</v>
      </c>
      <c r="B81" s="113">
        <f t="shared" ref="B81" si="112">B65</f>
        <v>139</v>
      </c>
      <c r="C81" s="121">
        <v>120</v>
      </c>
      <c r="D81" s="122">
        <v>87</v>
      </c>
      <c r="E81" s="122">
        <v>40</v>
      </c>
      <c r="F81" s="122">
        <v>38</v>
      </c>
      <c r="G81" s="122">
        <v>23</v>
      </c>
      <c r="H81" s="122">
        <v>18</v>
      </c>
      <c r="I81" s="122">
        <v>5</v>
      </c>
      <c r="J81" s="122">
        <v>2</v>
      </c>
      <c r="K81" s="124"/>
      <c r="M81" s="94" t="str">
        <f>A87</f>
        <v>飛騨圏域(n = 106 )　　</v>
      </c>
      <c r="N81" s="78">
        <f t="shared" ref="N81:U81" si="113">C88</f>
        <v>92</v>
      </c>
      <c r="O81" s="79">
        <f t="shared" si="113"/>
        <v>62</v>
      </c>
      <c r="P81" s="79">
        <f t="shared" si="113"/>
        <v>32</v>
      </c>
      <c r="Q81" s="79">
        <f t="shared" si="113"/>
        <v>20</v>
      </c>
      <c r="R81" s="79">
        <f t="shared" si="113"/>
        <v>10</v>
      </c>
      <c r="S81" s="79">
        <f t="shared" si="113"/>
        <v>10</v>
      </c>
      <c r="T81" s="79">
        <f t="shared" si="113"/>
        <v>0</v>
      </c>
      <c r="U81" s="81">
        <f t="shared" si="113"/>
        <v>0</v>
      </c>
    </row>
    <row r="82" spans="1:21" x14ac:dyDescent="0.2">
      <c r="A82" s="270"/>
      <c r="B82" s="125">
        <f t="shared" ref="B82" si="114">B66</f>
        <v>17.506297229219143</v>
      </c>
      <c r="C82" s="125">
        <v>86.330935251798564</v>
      </c>
      <c r="D82" s="126">
        <v>62.589928057553955</v>
      </c>
      <c r="E82" s="126">
        <v>28.776978417266186</v>
      </c>
      <c r="F82" s="126">
        <v>27.338129496402878</v>
      </c>
      <c r="G82" s="126">
        <v>16.546762589928058</v>
      </c>
      <c r="H82" s="126">
        <v>12.949640287769784</v>
      </c>
      <c r="I82" s="126">
        <v>3.5971223021582732</v>
      </c>
      <c r="J82" s="126">
        <v>1.4388489208633095</v>
      </c>
      <c r="K82" s="128"/>
    </row>
    <row r="83" spans="1:21" x14ac:dyDescent="0.2">
      <c r="A83" s="269" t="str">
        <f>A67</f>
        <v>中濃圏域(n = 300 )　　</v>
      </c>
      <c r="B83" s="113">
        <f t="shared" ref="B83" si="115">B67</f>
        <v>153</v>
      </c>
      <c r="C83" s="121">
        <v>138</v>
      </c>
      <c r="D83" s="122">
        <v>100</v>
      </c>
      <c r="E83" s="122">
        <v>38</v>
      </c>
      <c r="F83" s="122">
        <v>40</v>
      </c>
      <c r="G83" s="122">
        <v>22</v>
      </c>
      <c r="H83" s="122">
        <v>19</v>
      </c>
      <c r="I83" s="122">
        <v>7</v>
      </c>
      <c r="J83" s="122">
        <v>0</v>
      </c>
      <c r="K83" s="124"/>
    </row>
    <row r="84" spans="1:21" x14ac:dyDescent="0.2">
      <c r="A84" s="270"/>
      <c r="B84" s="125">
        <f t="shared" ref="B84" si="116">B68</f>
        <v>19.269521410579348</v>
      </c>
      <c r="C84" s="125">
        <v>90.196078431372555</v>
      </c>
      <c r="D84" s="126">
        <v>65.359477124183002</v>
      </c>
      <c r="E84" s="126">
        <v>24.836601307189543</v>
      </c>
      <c r="F84" s="126">
        <v>26.143790849673206</v>
      </c>
      <c r="G84" s="126">
        <v>14.37908496732026</v>
      </c>
      <c r="H84" s="126">
        <v>12.418300653594772</v>
      </c>
      <c r="I84" s="126">
        <v>4.5751633986928102</v>
      </c>
      <c r="J84" s="126">
        <v>0</v>
      </c>
      <c r="K84" s="128"/>
    </row>
    <row r="85" spans="1:21" x14ac:dyDescent="0.2">
      <c r="A85" s="269" t="str">
        <f>A69</f>
        <v>東濃圏域(n = 271 )　　</v>
      </c>
      <c r="B85" s="113">
        <f t="shared" ref="B85" si="117">B69</f>
        <v>138</v>
      </c>
      <c r="C85" s="121">
        <v>126</v>
      </c>
      <c r="D85" s="122">
        <v>95</v>
      </c>
      <c r="E85" s="122">
        <v>45</v>
      </c>
      <c r="F85" s="122">
        <v>28</v>
      </c>
      <c r="G85" s="122">
        <v>14</v>
      </c>
      <c r="H85" s="122">
        <v>13</v>
      </c>
      <c r="I85" s="122">
        <v>8</v>
      </c>
      <c r="J85" s="122">
        <v>0</v>
      </c>
      <c r="K85" s="124"/>
    </row>
    <row r="86" spans="1:21" x14ac:dyDescent="0.2">
      <c r="A86" s="270"/>
      <c r="B86" s="125">
        <f t="shared" ref="B86" si="118">B70</f>
        <v>17.380352644836272</v>
      </c>
      <c r="C86" s="125">
        <v>91.304347826086953</v>
      </c>
      <c r="D86" s="126">
        <v>68.840579710144922</v>
      </c>
      <c r="E86" s="126">
        <v>32.608695652173914</v>
      </c>
      <c r="F86" s="126">
        <v>20.289855072463769</v>
      </c>
      <c r="G86" s="126">
        <v>10.144927536231885</v>
      </c>
      <c r="H86" s="126">
        <v>9.4202898550724647</v>
      </c>
      <c r="I86" s="126">
        <v>5.7971014492753623</v>
      </c>
      <c r="J86" s="126">
        <v>0</v>
      </c>
      <c r="K86" s="128"/>
    </row>
    <row r="87" spans="1:21" x14ac:dyDescent="0.2">
      <c r="A87" s="269" t="str">
        <f>A71</f>
        <v>飛騨圏域(n = 106 )　　</v>
      </c>
      <c r="B87" s="113">
        <f t="shared" ref="B87" si="119">B71</f>
        <v>50</v>
      </c>
      <c r="C87" s="121">
        <v>46</v>
      </c>
      <c r="D87" s="122">
        <v>31</v>
      </c>
      <c r="E87" s="122">
        <v>16</v>
      </c>
      <c r="F87" s="122">
        <v>10</v>
      </c>
      <c r="G87" s="122">
        <v>5</v>
      </c>
      <c r="H87" s="122">
        <v>5</v>
      </c>
      <c r="I87" s="122">
        <v>0</v>
      </c>
      <c r="J87" s="122">
        <v>0</v>
      </c>
      <c r="K87" s="124"/>
    </row>
    <row r="88" spans="1:21" x14ac:dyDescent="0.2">
      <c r="A88" s="270"/>
      <c r="B88" s="125">
        <f t="shared" ref="B88" si="120">B72</f>
        <v>6.2972292191435768</v>
      </c>
      <c r="C88" s="125">
        <v>92</v>
      </c>
      <c r="D88" s="126">
        <v>62</v>
      </c>
      <c r="E88" s="126">
        <v>32</v>
      </c>
      <c r="F88" s="126">
        <v>20</v>
      </c>
      <c r="G88" s="126">
        <v>10</v>
      </c>
      <c r="H88" s="126">
        <v>10</v>
      </c>
      <c r="I88" s="126">
        <v>0</v>
      </c>
      <c r="J88" s="126">
        <v>0</v>
      </c>
      <c r="K88" s="128"/>
    </row>
    <row r="90" spans="1:21" x14ac:dyDescent="0.2">
      <c r="A90" s="3" t="s">
        <v>174</v>
      </c>
      <c r="B90" s="1" t="str">
        <f>B59</f>
        <v>くらしが苦しくなったと感じる理由</v>
      </c>
      <c r="C90" s="8"/>
      <c r="D90" s="92" t="s">
        <v>195</v>
      </c>
      <c r="E90" s="8"/>
      <c r="F90" s="8"/>
      <c r="G90" s="8"/>
      <c r="H90" s="9" t="s">
        <v>1</v>
      </c>
      <c r="I90" s="8"/>
      <c r="J90" s="8"/>
      <c r="K90" s="8"/>
      <c r="L90" s="8"/>
      <c r="M90" s="8"/>
      <c r="N90" s="8"/>
      <c r="O90" s="8"/>
      <c r="P90" s="8"/>
    </row>
    <row r="91" spans="1:21" ht="86.4" x14ac:dyDescent="0.2">
      <c r="A91" s="12" t="s">
        <v>29</v>
      </c>
      <c r="B91" s="14" t="str">
        <f>B60</f>
        <v>調査数</v>
      </c>
      <c r="C91" s="15" t="str">
        <f>C60</f>
        <v>給料等の収入が増えない、または減った</v>
      </c>
      <c r="D91" s="16" t="str">
        <f t="shared" ref="D91:K91" si="121">D60</f>
        <v>食品や日用品、光熱費などの
物価上昇による支出が増えた</v>
      </c>
      <c r="E91" s="16" t="str">
        <f t="shared" si="121"/>
        <v>医療・介護費の支出が増えた</v>
      </c>
      <c r="F91" s="16" t="str">
        <f t="shared" si="121"/>
        <v>保育・教育費の支出が増えた</v>
      </c>
      <c r="G91" s="16" t="str">
        <f t="shared" si="121"/>
        <v>税金の支出が増えた</v>
      </c>
      <c r="H91" s="16" t="str">
        <f t="shared" si="121"/>
        <v>各種保険料などの支出が増えた</v>
      </c>
      <c r="I91" s="16" t="str">
        <f t="shared" si="121"/>
        <v>その他</v>
      </c>
      <c r="J91" s="16" t="str">
        <f t="shared" si="121"/>
        <v>わからない</v>
      </c>
      <c r="K91" s="18" t="str">
        <f t="shared" si="121"/>
        <v>無回答</v>
      </c>
      <c r="L91" s="5" t="s">
        <v>117</v>
      </c>
      <c r="M91" s="202" t="s">
        <v>242</v>
      </c>
    </row>
    <row r="92" spans="1:21" x14ac:dyDescent="0.2">
      <c r="A92" s="279" t="str">
        <f>A77</f>
        <v>全体(n = 808 )　　</v>
      </c>
      <c r="B92" s="34">
        <f t="shared" ref="B92:J92" si="122">SUM(B94,B96,B98,B100,B102,B104,B106,B108,B110)</f>
        <v>804</v>
      </c>
      <c r="C92" s="31">
        <f t="shared" si="122"/>
        <v>527</v>
      </c>
      <c r="D92" s="32">
        <f t="shared" si="122"/>
        <v>718</v>
      </c>
      <c r="E92" s="32">
        <f t="shared" si="122"/>
        <v>221</v>
      </c>
      <c r="F92" s="32">
        <f t="shared" si="122"/>
        <v>97</v>
      </c>
      <c r="G92" s="32">
        <f t="shared" si="122"/>
        <v>187</v>
      </c>
      <c r="H92" s="32">
        <f t="shared" si="122"/>
        <v>120</v>
      </c>
      <c r="I92" s="32">
        <f t="shared" si="122"/>
        <v>38</v>
      </c>
      <c r="J92" s="32">
        <f t="shared" si="122"/>
        <v>2</v>
      </c>
      <c r="K92" s="33"/>
      <c r="L92" s="5">
        <f>SUM($C92:K92)</f>
        <v>1910</v>
      </c>
      <c r="M92" s="166">
        <f>B92</f>
        <v>804</v>
      </c>
    </row>
    <row r="93" spans="1:21" x14ac:dyDescent="0.2">
      <c r="A93" s="280"/>
      <c r="B93" s="35"/>
      <c r="C93" s="20">
        <f t="shared" ref="C93:J93" si="123">C92/$B92*100</f>
        <v>65.547263681592042</v>
      </c>
      <c r="D93" s="207">
        <f t="shared" si="123"/>
        <v>89.303482587064678</v>
      </c>
      <c r="E93" s="207">
        <f t="shared" si="123"/>
        <v>27.487562189054728</v>
      </c>
      <c r="F93" s="207">
        <f t="shared" si="123"/>
        <v>12.064676616915424</v>
      </c>
      <c r="G93" s="207">
        <f t="shared" si="123"/>
        <v>23.258706467661693</v>
      </c>
      <c r="H93" s="207">
        <f t="shared" si="123"/>
        <v>14.925373134328357</v>
      </c>
      <c r="I93" s="207">
        <f t="shared" si="123"/>
        <v>4.7263681592039797</v>
      </c>
      <c r="J93" s="207">
        <f t="shared" si="123"/>
        <v>0.24875621890547264</v>
      </c>
      <c r="K93" s="208"/>
      <c r="L93" s="195"/>
    </row>
    <row r="94" spans="1:21" ht="13.5" customHeight="1" x14ac:dyDescent="0.2">
      <c r="A94" s="259" t="str">
        <f>'問1S（表）'!A79</f>
        <v>自営業(n = 175 )　　</v>
      </c>
      <c r="B94" s="34">
        <v>96</v>
      </c>
      <c r="C94" s="28">
        <v>65</v>
      </c>
      <c r="D94" s="29">
        <v>87</v>
      </c>
      <c r="E94" s="29">
        <v>23</v>
      </c>
      <c r="F94" s="29">
        <v>5</v>
      </c>
      <c r="G94" s="29">
        <v>27</v>
      </c>
      <c r="H94" s="29">
        <v>14</v>
      </c>
      <c r="I94" s="29">
        <v>6</v>
      </c>
      <c r="J94" s="29">
        <v>0</v>
      </c>
      <c r="K94" s="30"/>
      <c r="L94" s="5">
        <f>SUM($C94:K94)</f>
        <v>227</v>
      </c>
      <c r="M94" s="166">
        <f>B94</f>
        <v>96</v>
      </c>
      <c r="N94" t="str">
        <f>" 自営業（N = "&amp;L94&amp;" : n = "&amp;M94&amp;"）"</f>
        <v xml:space="preserve"> 自営業（N = 227 : n = 96）</v>
      </c>
      <c r="S94">
        <v>1</v>
      </c>
    </row>
    <row r="95" spans="1:21" x14ac:dyDescent="0.2">
      <c r="A95" s="260"/>
      <c r="B95" s="20">
        <f>B94/$B$92*100</f>
        <v>11.940298507462686</v>
      </c>
      <c r="C95" s="20">
        <f t="shared" ref="C95:J95" si="124">C94/$B94*100</f>
        <v>67.708333333333343</v>
      </c>
      <c r="D95" s="207">
        <f t="shared" si="124"/>
        <v>90.625</v>
      </c>
      <c r="E95" s="207">
        <f t="shared" si="124"/>
        <v>23.958333333333336</v>
      </c>
      <c r="F95" s="207">
        <f t="shared" si="124"/>
        <v>5.2083333333333339</v>
      </c>
      <c r="G95" s="207">
        <f t="shared" si="124"/>
        <v>28.125</v>
      </c>
      <c r="H95" s="207">
        <f t="shared" si="124"/>
        <v>14.583333333333334</v>
      </c>
      <c r="I95" s="207">
        <f t="shared" si="124"/>
        <v>6.25</v>
      </c>
      <c r="J95" s="207">
        <f t="shared" si="124"/>
        <v>0</v>
      </c>
      <c r="K95" s="208"/>
      <c r="L95" s="195"/>
    </row>
    <row r="96" spans="1:21" ht="13.5" customHeight="1" x14ac:dyDescent="0.2">
      <c r="A96" s="259" t="str">
        <f>'問1S（表）'!A81</f>
        <v>自由業(※1)(n = 12 )　　</v>
      </c>
      <c r="B96" s="34">
        <v>9</v>
      </c>
      <c r="C96" s="28">
        <v>6</v>
      </c>
      <c r="D96" s="29">
        <v>7</v>
      </c>
      <c r="E96" s="29">
        <v>4</v>
      </c>
      <c r="F96" s="29">
        <v>2</v>
      </c>
      <c r="G96" s="29">
        <v>0</v>
      </c>
      <c r="H96" s="29">
        <v>1</v>
      </c>
      <c r="I96" s="29">
        <v>0</v>
      </c>
      <c r="J96" s="29">
        <v>0</v>
      </c>
      <c r="K96" s="30"/>
      <c r="L96" s="5">
        <f>SUM($C96:K96)</f>
        <v>20</v>
      </c>
      <c r="M96" s="166">
        <f>B96</f>
        <v>9</v>
      </c>
      <c r="N96" t="str">
        <f>" 自由業（N = "&amp;L96&amp;" : n = "&amp;M96&amp;"）"</f>
        <v xml:space="preserve"> 自由業（N = 20 : n = 9）</v>
      </c>
      <c r="S96">
        <v>2</v>
      </c>
    </row>
    <row r="97" spans="1:19" x14ac:dyDescent="0.2">
      <c r="A97" s="260"/>
      <c r="B97" s="20">
        <f>B96/$B$92*100</f>
        <v>1.1194029850746268</v>
      </c>
      <c r="C97" s="20">
        <f t="shared" ref="C97:J97" si="125">C96/$B96*100</f>
        <v>66.666666666666657</v>
      </c>
      <c r="D97" s="207">
        <f t="shared" si="125"/>
        <v>77.777777777777786</v>
      </c>
      <c r="E97" s="207">
        <f t="shared" si="125"/>
        <v>44.444444444444443</v>
      </c>
      <c r="F97" s="207">
        <f t="shared" si="125"/>
        <v>22.222222222222221</v>
      </c>
      <c r="G97" s="207">
        <f t="shared" si="125"/>
        <v>0</v>
      </c>
      <c r="H97" s="207">
        <f t="shared" si="125"/>
        <v>11.111111111111111</v>
      </c>
      <c r="I97" s="207">
        <f t="shared" si="125"/>
        <v>0</v>
      </c>
      <c r="J97" s="207">
        <f t="shared" si="125"/>
        <v>0</v>
      </c>
      <c r="K97" s="208"/>
      <c r="L97" s="195"/>
    </row>
    <row r="98" spans="1:19" ht="13.5" customHeight="1" x14ac:dyDescent="0.2">
      <c r="A98" s="259" t="str">
        <f>'問1S（表）'!A83</f>
        <v>会社・団体役員(n = 171 )　　</v>
      </c>
      <c r="B98" s="34">
        <v>69</v>
      </c>
      <c r="C98" s="28">
        <v>52</v>
      </c>
      <c r="D98" s="29">
        <v>61</v>
      </c>
      <c r="E98" s="29">
        <v>10</v>
      </c>
      <c r="F98" s="29">
        <v>6</v>
      </c>
      <c r="G98" s="29">
        <v>19</v>
      </c>
      <c r="H98" s="29">
        <v>6</v>
      </c>
      <c r="I98" s="29">
        <v>3</v>
      </c>
      <c r="J98" s="29">
        <v>0</v>
      </c>
      <c r="K98" s="30"/>
      <c r="L98" s="5">
        <f>SUM($C98:K98)</f>
        <v>157</v>
      </c>
      <c r="M98" s="166">
        <f>B98</f>
        <v>69</v>
      </c>
      <c r="N98" t="str">
        <f>" 会社・団体役員（N = "&amp;L98&amp;" : n = "&amp;M98&amp;"）"</f>
        <v xml:space="preserve"> 会社・団体役員（N = 157 : n = 69）</v>
      </c>
      <c r="S98">
        <v>3</v>
      </c>
    </row>
    <row r="99" spans="1:19" x14ac:dyDescent="0.2">
      <c r="A99" s="260"/>
      <c r="B99" s="20">
        <f>B98/$B$92*100</f>
        <v>8.5820895522388057</v>
      </c>
      <c r="C99" s="20">
        <f t="shared" ref="C99:J99" si="126">C98/$B98*100</f>
        <v>75.362318840579718</v>
      </c>
      <c r="D99" s="207">
        <f t="shared" si="126"/>
        <v>88.405797101449281</v>
      </c>
      <c r="E99" s="207">
        <f t="shared" si="126"/>
        <v>14.492753623188406</v>
      </c>
      <c r="F99" s="207">
        <f t="shared" si="126"/>
        <v>8.695652173913043</v>
      </c>
      <c r="G99" s="207">
        <f t="shared" si="126"/>
        <v>27.536231884057973</v>
      </c>
      <c r="H99" s="207">
        <f t="shared" si="126"/>
        <v>8.695652173913043</v>
      </c>
      <c r="I99" s="207">
        <f t="shared" si="126"/>
        <v>4.3478260869565215</v>
      </c>
      <c r="J99" s="207">
        <f t="shared" si="126"/>
        <v>0</v>
      </c>
      <c r="K99" s="208"/>
      <c r="L99" s="195"/>
    </row>
    <row r="100" spans="1:19" ht="13.5" customHeight="1" x14ac:dyDescent="0.2">
      <c r="A100" s="259" t="str">
        <f>'問1S（表）'!A85</f>
        <v>正規の従業員・職員(n = 423 )　　</v>
      </c>
      <c r="B100" s="34">
        <v>205</v>
      </c>
      <c r="C100" s="28">
        <v>149</v>
      </c>
      <c r="D100" s="29">
        <v>179</v>
      </c>
      <c r="E100" s="29">
        <v>40</v>
      </c>
      <c r="F100" s="29">
        <v>42</v>
      </c>
      <c r="G100" s="29">
        <v>46</v>
      </c>
      <c r="H100" s="29">
        <v>27</v>
      </c>
      <c r="I100" s="29">
        <v>6</v>
      </c>
      <c r="J100" s="29">
        <v>1</v>
      </c>
      <c r="K100" s="30"/>
      <c r="L100" s="5">
        <f>SUM($C100:K100)</f>
        <v>490</v>
      </c>
      <c r="M100" s="166">
        <f>B100</f>
        <v>205</v>
      </c>
      <c r="N100" t="str">
        <f>" 正規の従業員・職員（N = "&amp;L100&amp;" : n = "&amp;M100&amp;"）"</f>
        <v xml:space="preserve"> 正規の従業員・職員（N = 490 : n = 205）</v>
      </c>
      <c r="S100">
        <v>4</v>
      </c>
    </row>
    <row r="101" spans="1:19" x14ac:dyDescent="0.2">
      <c r="A101" s="260"/>
      <c r="B101" s="20">
        <f>B100/$B$92*100</f>
        <v>25.497512437810943</v>
      </c>
      <c r="C101" s="20">
        <f t="shared" ref="C101:J101" si="127">C100/$B100*100</f>
        <v>72.682926829268297</v>
      </c>
      <c r="D101" s="207">
        <f t="shared" si="127"/>
        <v>87.317073170731703</v>
      </c>
      <c r="E101" s="207">
        <f t="shared" si="127"/>
        <v>19.512195121951219</v>
      </c>
      <c r="F101" s="207">
        <f t="shared" si="127"/>
        <v>20.487804878048781</v>
      </c>
      <c r="G101" s="207">
        <f t="shared" si="127"/>
        <v>22.439024390243905</v>
      </c>
      <c r="H101" s="207">
        <f t="shared" si="127"/>
        <v>13.170731707317074</v>
      </c>
      <c r="I101" s="207">
        <f t="shared" si="127"/>
        <v>2.9268292682926833</v>
      </c>
      <c r="J101" s="207">
        <f t="shared" si="127"/>
        <v>0.48780487804878048</v>
      </c>
      <c r="K101" s="208"/>
      <c r="L101" s="195"/>
    </row>
    <row r="102" spans="1:19" ht="13.5" customHeight="1" x14ac:dyDescent="0.2">
      <c r="A102" s="259" t="str">
        <f>'問1S（表）'!A87</f>
        <v>パートタイム・アルバイト・派遣(n = 346 )　　</v>
      </c>
      <c r="B102" s="34">
        <v>179</v>
      </c>
      <c r="C102" s="28">
        <v>125</v>
      </c>
      <c r="D102" s="29">
        <v>166</v>
      </c>
      <c r="E102" s="29">
        <v>48</v>
      </c>
      <c r="F102" s="29">
        <v>31</v>
      </c>
      <c r="G102" s="29">
        <v>41</v>
      </c>
      <c r="H102" s="29">
        <v>25</v>
      </c>
      <c r="I102" s="29">
        <v>11</v>
      </c>
      <c r="J102" s="29">
        <v>0</v>
      </c>
      <c r="K102" s="30"/>
      <c r="L102" s="5">
        <f>SUM($C102:K102)</f>
        <v>447</v>
      </c>
      <c r="M102" s="166">
        <f>B102</f>
        <v>179</v>
      </c>
      <c r="N102" t="str">
        <f>" パートタイム・アルバイト・派遣（N = "&amp;L102&amp;" : n = "&amp;M102&amp;"）"</f>
        <v xml:space="preserve"> パートタイム・アルバイト・派遣（N = 447 : n = 179）</v>
      </c>
      <c r="S102">
        <v>5</v>
      </c>
    </row>
    <row r="103" spans="1:19" x14ac:dyDescent="0.2">
      <c r="A103" s="260"/>
      <c r="B103" s="20">
        <f>B102/$B$92*100</f>
        <v>22.263681592039802</v>
      </c>
      <c r="C103" s="20">
        <f t="shared" ref="C103:J103" si="128">C102/$B102*100</f>
        <v>69.832402234636874</v>
      </c>
      <c r="D103" s="207">
        <f t="shared" si="128"/>
        <v>92.737430167597765</v>
      </c>
      <c r="E103" s="207">
        <f t="shared" si="128"/>
        <v>26.815642458100559</v>
      </c>
      <c r="F103" s="207">
        <f t="shared" si="128"/>
        <v>17.318435754189945</v>
      </c>
      <c r="G103" s="207">
        <f t="shared" si="128"/>
        <v>22.905027932960895</v>
      </c>
      <c r="H103" s="207">
        <f t="shared" si="128"/>
        <v>13.966480446927374</v>
      </c>
      <c r="I103" s="207">
        <f t="shared" si="128"/>
        <v>6.1452513966480442</v>
      </c>
      <c r="J103" s="207">
        <f t="shared" si="128"/>
        <v>0</v>
      </c>
      <c r="K103" s="208"/>
      <c r="L103" s="195"/>
    </row>
    <row r="104" spans="1:19" ht="13.5" customHeight="1" x14ac:dyDescent="0.2">
      <c r="A104" s="259" t="str">
        <f>'問1S（表）'!A89</f>
        <v>学生(n = 44 )　　</v>
      </c>
      <c r="B104" s="34">
        <v>11</v>
      </c>
      <c r="C104" s="28">
        <v>5</v>
      </c>
      <c r="D104" s="29">
        <v>7</v>
      </c>
      <c r="E104" s="29">
        <v>2</v>
      </c>
      <c r="F104" s="29">
        <v>2</v>
      </c>
      <c r="G104" s="29">
        <v>2</v>
      </c>
      <c r="H104" s="29">
        <v>2</v>
      </c>
      <c r="I104" s="29">
        <v>0</v>
      </c>
      <c r="J104" s="29">
        <v>1</v>
      </c>
      <c r="K104" s="30"/>
      <c r="L104" s="5">
        <f>SUM($C104:K104)</f>
        <v>21</v>
      </c>
      <c r="M104" s="166">
        <f>B104</f>
        <v>11</v>
      </c>
      <c r="N104" t="str">
        <f>" 学生（N = "&amp;L104&amp;" : n = "&amp;M104&amp;"）"</f>
        <v xml:space="preserve"> 学生（N = 21 : n = 11）</v>
      </c>
      <c r="S104">
        <v>6</v>
      </c>
    </row>
    <row r="105" spans="1:19" x14ac:dyDescent="0.2">
      <c r="A105" s="260"/>
      <c r="B105" s="20">
        <f>B104/$B$92*100</f>
        <v>1.3681592039800996</v>
      </c>
      <c r="C105" s="20">
        <f t="shared" ref="C105:J105" si="129">C104/$B104*100</f>
        <v>45.454545454545453</v>
      </c>
      <c r="D105" s="207">
        <f t="shared" si="129"/>
        <v>63.636363636363633</v>
      </c>
      <c r="E105" s="207">
        <f t="shared" si="129"/>
        <v>18.181818181818183</v>
      </c>
      <c r="F105" s="207">
        <f t="shared" si="129"/>
        <v>18.181818181818183</v>
      </c>
      <c r="G105" s="207">
        <f t="shared" si="129"/>
        <v>18.181818181818183</v>
      </c>
      <c r="H105" s="207">
        <f t="shared" si="129"/>
        <v>18.181818181818183</v>
      </c>
      <c r="I105" s="207">
        <f t="shared" si="129"/>
        <v>0</v>
      </c>
      <c r="J105" s="207">
        <f t="shared" si="129"/>
        <v>9.0909090909090917</v>
      </c>
      <c r="K105" s="208"/>
      <c r="L105" s="195"/>
    </row>
    <row r="106" spans="1:19" ht="13.5" customHeight="1" x14ac:dyDescent="0.2">
      <c r="A106" s="259" t="str">
        <f>'問1S（表）'!A91</f>
        <v>家事従事(n = 150 )　　</v>
      </c>
      <c r="B106" s="34">
        <v>71</v>
      </c>
      <c r="C106" s="28">
        <v>49</v>
      </c>
      <c r="D106" s="29">
        <v>65</v>
      </c>
      <c r="E106" s="29">
        <v>20</v>
      </c>
      <c r="F106" s="29">
        <v>4</v>
      </c>
      <c r="G106" s="29">
        <v>17</v>
      </c>
      <c r="H106" s="29">
        <v>11</v>
      </c>
      <c r="I106" s="29">
        <v>1</v>
      </c>
      <c r="J106" s="29">
        <v>0</v>
      </c>
      <c r="K106" s="30"/>
      <c r="L106" s="5">
        <f>SUM($C106:K106)</f>
        <v>167</v>
      </c>
      <c r="M106" s="166">
        <f>B106</f>
        <v>71</v>
      </c>
      <c r="N106" t="str">
        <f>" 家事従事（N = "&amp;L106&amp;" : n = "&amp;M106&amp;"）"</f>
        <v xml:space="preserve"> 家事従事（N = 167 : n = 71）</v>
      </c>
      <c r="S106">
        <v>7</v>
      </c>
    </row>
    <row r="107" spans="1:19" x14ac:dyDescent="0.2">
      <c r="A107" s="260"/>
      <c r="B107" s="20">
        <f>B106/$B$92*100</f>
        <v>8.8308457711442792</v>
      </c>
      <c r="C107" s="20">
        <f t="shared" ref="C107:J107" si="130">C106/$B106*100</f>
        <v>69.014084507042256</v>
      </c>
      <c r="D107" s="207">
        <f t="shared" si="130"/>
        <v>91.549295774647888</v>
      </c>
      <c r="E107" s="207">
        <f t="shared" si="130"/>
        <v>28.169014084507044</v>
      </c>
      <c r="F107" s="207">
        <f t="shared" si="130"/>
        <v>5.6338028169014089</v>
      </c>
      <c r="G107" s="207">
        <f t="shared" si="130"/>
        <v>23.943661971830984</v>
      </c>
      <c r="H107" s="207">
        <f t="shared" si="130"/>
        <v>15.492957746478872</v>
      </c>
      <c r="I107" s="207">
        <f t="shared" si="130"/>
        <v>1.4084507042253522</v>
      </c>
      <c r="J107" s="207">
        <f t="shared" si="130"/>
        <v>0</v>
      </c>
      <c r="K107" s="208"/>
      <c r="L107" s="195"/>
    </row>
    <row r="108" spans="1:19" ht="13.5" customHeight="1" x14ac:dyDescent="0.2">
      <c r="A108" s="259" t="str">
        <f>'問1S（表）'!A93</f>
        <v>無職(n = 263 )　　</v>
      </c>
      <c r="B108" s="34">
        <v>156</v>
      </c>
      <c r="C108" s="28">
        <v>72</v>
      </c>
      <c r="D108" s="29">
        <v>141</v>
      </c>
      <c r="E108" s="29">
        <v>72</v>
      </c>
      <c r="F108" s="29">
        <v>4</v>
      </c>
      <c r="G108" s="29">
        <v>32</v>
      </c>
      <c r="H108" s="29">
        <v>33</v>
      </c>
      <c r="I108" s="29">
        <v>10</v>
      </c>
      <c r="J108" s="29">
        <v>0</v>
      </c>
      <c r="K108" s="30"/>
      <c r="L108" s="5">
        <f>SUM($C108:K108)</f>
        <v>364</v>
      </c>
      <c r="M108" s="166">
        <f>B108</f>
        <v>156</v>
      </c>
      <c r="N108" t="str">
        <f>" 無職（N = "&amp;L108&amp;" : n = "&amp;M108&amp;"）"</f>
        <v xml:space="preserve"> 無職（N = 364 : n = 156）</v>
      </c>
      <c r="S108">
        <v>8</v>
      </c>
    </row>
    <row r="109" spans="1:19" x14ac:dyDescent="0.2">
      <c r="A109" s="260"/>
      <c r="B109" s="20">
        <f>B108/$B$92*100</f>
        <v>19.402985074626866</v>
      </c>
      <c r="C109" s="20">
        <f t="shared" ref="C109:J109" si="131">C108/$B108*100</f>
        <v>46.153846153846153</v>
      </c>
      <c r="D109" s="207">
        <f t="shared" si="131"/>
        <v>90.384615384615387</v>
      </c>
      <c r="E109" s="207">
        <f t="shared" si="131"/>
        <v>46.153846153846153</v>
      </c>
      <c r="F109" s="207">
        <f t="shared" si="131"/>
        <v>2.5641025641025639</v>
      </c>
      <c r="G109" s="207">
        <f t="shared" si="131"/>
        <v>20.512820512820511</v>
      </c>
      <c r="H109" s="207">
        <f t="shared" si="131"/>
        <v>21.153846153846153</v>
      </c>
      <c r="I109" s="207">
        <f t="shared" si="131"/>
        <v>6.4102564102564097</v>
      </c>
      <c r="J109" s="207">
        <f t="shared" si="131"/>
        <v>0</v>
      </c>
      <c r="K109" s="208"/>
      <c r="L109" s="195"/>
    </row>
    <row r="110" spans="1:19" ht="13.5" customHeight="1" x14ac:dyDescent="0.2">
      <c r="A110" s="259" t="str">
        <f>'問1S（表）'!A95</f>
        <v>その他(n = 18 )　　</v>
      </c>
      <c r="B110" s="34">
        <v>8</v>
      </c>
      <c r="C110" s="28">
        <v>4</v>
      </c>
      <c r="D110" s="29">
        <v>5</v>
      </c>
      <c r="E110" s="29">
        <v>2</v>
      </c>
      <c r="F110" s="29">
        <v>1</v>
      </c>
      <c r="G110" s="29">
        <v>3</v>
      </c>
      <c r="H110" s="29">
        <v>1</v>
      </c>
      <c r="I110" s="29">
        <v>1</v>
      </c>
      <c r="J110" s="29">
        <v>0</v>
      </c>
      <c r="K110" s="30"/>
      <c r="L110" s="5">
        <f>SUM($C110:K110)</f>
        <v>17</v>
      </c>
      <c r="M110" s="166">
        <f>B110</f>
        <v>8</v>
      </c>
      <c r="N110" t="str">
        <f>" その他（N = "&amp;L110&amp;" : n = "&amp;M110&amp;"）"</f>
        <v xml:space="preserve"> その他（N = 17 : n = 8）</v>
      </c>
      <c r="O110" s="166"/>
      <c r="S110">
        <v>9</v>
      </c>
    </row>
    <row r="111" spans="1:19" x14ac:dyDescent="0.2">
      <c r="A111" s="260"/>
      <c r="B111" s="20">
        <f>B110/$B$92*100</f>
        <v>0.99502487562189057</v>
      </c>
      <c r="C111" s="20">
        <f t="shared" ref="C111:J111" si="132">C110/$B110*100</f>
        <v>50</v>
      </c>
      <c r="D111" s="207">
        <f t="shared" si="132"/>
        <v>62.5</v>
      </c>
      <c r="E111" s="207">
        <f t="shared" si="132"/>
        <v>25</v>
      </c>
      <c r="F111" s="207">
        <f t="shared" si="132"/>
        <v>12.5</v>
      </c>
      <c r="G111" s="207">
        <f t="shared" si="132"/>
        <v>37.5</v>
      </c>
      <c r="H111" s="207">
        <f t="shared" si="132"/>
        <v>12.5</v>
      </c>
      <c r="I111" s="207">
        <f t="shared" si="132"/>
        <v>12.5</v>
      </c>
      <c r="J111" s="207">
        <f t="shared" si="132"/>
        <v>0</v>
      </c>
      <c r="K111" s="208"/>
      <c r="L111" s="166">
        <f>SUM($L96,$L104,$L110)</f>
        <v>58</v>
      </c>
      <c r="M111" s="166">
        <f>SUM($M$96,$M$104,$M$110)</f>
        <v>28</v>
      </c>
      <c r="N111" t="str">
        <f>" その他（N = "&amp;L111&amp;" : n = "&amp;M111&amp;"）"</f>
        <v xml:space="preserve"> その他（N = 58 : n = 28）</v>
      </c>
    </row>
    <row r="112" spans="1:19" x14ac:dyDescent="0.2">
      <c r="A112" s="187"/>
      <c r="B112" s="22"/>
      <c r="C112" s="172">
        <f>_xlfn.RANK.EQ(C93,$C$93:$K$93,0)</f>
        <v>2</v>
      </c>
      <c r="D112" s="172">
        <f t="shared" ref="D112:K112" si="133">_xlfn.RANK.EQ(D93,$C$93:$K$93,0)</f>
        <v>1</v>
      </c>
      <c r="E112" s="172">
        <f t="shared" si="133"/>
        <v>3</v>
      </c>
      <c r="F112" s="172">
        <f t="shared" si="133"/>
        <v>6</v>
      </c>
      <c r="G112" s="172">
        <f t="shared" si="133"/>
        <v>4</v>
      </c>
      <c r="H112" s="172">
        <f t="shared" si="133"/>
        <v>5</v>
      </c>
      <c r="I112" s="172">
        <f t="shared" si="133"/>
        <v>7</v>
      </c>
      <c r="J112" s="172">
        <f t="shared" si="133"/>
        <v>8</v>
      </c>
      <c r="K112" s="172" t="e">
        <f t="shared" si="133"/>
        <v>#N/A</v>
      </c>
    </row>
    <row r="113" spans="1:13" x14ac:dyDescent="0.2">
      <c r="A113" s="26" t="s">
        <v>2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3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</row>
    <row r="115" spans="1:13" ht="86.4" x14ac:dyDescent="0.2">
      <c r="A115" s="12" t="str">
        <f>A91</f>
        <v>【職業別】</v>
      </c>
      <c r="B115" s="14" t="str">
        <f>B76</f>
        <v>調査数</v>
      </c>
      <c r="C115" s="15" t="s">
        <v>190</v>
      </c>
      <c r="D115" s="16" t="s">
        <v>189</v>
      </c>
      <c r="E115" s="16" t="s">
        <v>191</v>
      </c>
      <c r="F115" s="16" t="s">
        <v>192</v>
      </c>
      <c r="G115" s="16" t="s">
        <v>193</v>
      </c>
      <c r="H115" s="16" t="s">
        <v>194</v>
      </c>
      <c r="I115" s="16" t="s">
        <v>57</v>
      </c>
      <c r="J115" s="16" t="s">
        <v>23</v>
      </c>
      <c r="K115" s="18" t="s">
        <v>175</v>
      </c>
      <c r="M115" s="194">
        <v>1</v>
      </c>
    </row>
    <row r="116" spans="1:13" x14ac:dyDescent="0.2">
      <c r="A116" s="279" t="str">
        <f>A92</f>
        <v>全体(n = 808 )　　</v>
      </c>
      <c r="B116" s="113">
        <f>B92</f>
        <v>804</v>
      </c>
      <c r="C116" s="121">
        <v>718</v>
      </c>
      <c r="D116" s="122">
        <v>527</v>
      </c>
      <c r="E116" s="122">
        <v>221</v>
      </c>
      <c r="F116" s="122">
        <v>187</v>
      </c>
      <c r="G116" s="122">
        <v>120</v>
      </c>
      <c r="H116" s="122">
        <v>97</v>
      </c>
      <c r="I116" s="122">
        <v>38</v>
      </c>
      <c r="J116" s="122">
        <v>2</v>
      </c>
      <c r="K116" s="124"/>
      <c r="L116" s="166">
        <f>SUM(C116:K116)</f>
        <v>1910</v>
      </c>
      <c r="M116" s="194">
        <v>2</v>
      </c>
    </row>
    <row r="117" spans="1:13" x14ac:dyDescent="0.2">
      <c r="A117" s="280"/>
      <c r="B117" s="199">
        <f t="shared" ref="B117:B135" si="134">B93</f>
        <v>0</v>
      </c>
      <c r="C117" s="125">
        <v>89.303482587064678</v>
      </c>
      <c r="D117" s="126">
        <v>65.547263681592042</v>
      </c>
      <c r="E117" s="126">
        <v>27.487562189054728</v>
      </c>
      <c r="F117" s="126">
        <v>23.258706467661693</v>
      </c>
      <c r="G117" s="126">
        <v>14.925373134328357</v>
      </c>
      <c r="H117" s="126">
        <v>12.064676616915424</v>
      </c>
      <c r="I117" s="126">
        <v>4.7263681592039797</v>
      </c>
      <c r="J117" s="126">
        <v>0.24875621890547264</v>
      </c>
      <c r="K117" s="128"/>
      <c r="L117" s="166"/>
      <c r="M117" s="194">
        <v>3</v>
      </c>
    </row>
    <row r="118" spans="1:13" x14ac:dyDescent="0.2">
      <c r="A118" s="279" t="str">
        <f>A94</f>
        <v>自営業(n = 175 )　　</v>
      </c>
      <c r="B118" s="113">
        <f t="shared" si="134"/>
        <v>96</v>
      </c>
      <c r="C118" s="129">
        <v>87</v>
      </c>
      <c r="D118" s="130">
        <v>65</v>
      </c>
      <c r="E118" s="130">
        <v>23</v>
      </c>
      <c r="F118" s="130">
        <v>27</v>
      </c>
      <c r="G118" s="130">
        <v>14</v>
      </c>
      <c r="H118" s="130">
        <v>5</v>
      </c>
      <c r="I118" s="130">
        <v>6</v>
      </c>
      <c r="J118" s="130">
        <v>0</v>
      </c>
      <c r="K118" s="131"/>
      <c r="L118" s="166">
        <f t="shared" ref="L118:L134" si="135">SUM(C118:K118)</f>
        <v>227</v>
      </c>
      <c r="M118" s="194">
        <v>4</v>
      </c>
    </row>
    <row r="119" spans="1:13" x14ac:dyDescent="0.2">
      <c r="A119" s="280"/>
      <c r="B119" s="199">
        <f t="shared" si="134"/>
        <v>11.940298507462686</v>
      </c>
      <c r="C119" s="125">
        <v>90.625</v>
      </c>
      <c r="D119" s="126">
        <v>67.708333333333343</v>
      </c>
      <c r="E119" s="126">
        <v>23.958333333333336</v>
      </c>
      <c r="F119" s="126">
        <v>28.125</v>
      </c>
      <c r="G119" s="126">
        <v>14.583333333333334</v>
      </c>
      <c r="H119" s="126">
        <v>5.2083333333333339</v>
      </c>
      <c r="I119" s="126">
        <v>6.25</v>
      </c>
      <c r="J119" s="126">
        <v>0</v>
      </c>
      <c r="K119" s="128"/>
      <c r="L119" s="166"/>
      <c r="M119" s="194">
        <v>5</v>
      </c>
    </row>
    <row r="120" spans="1:13" x14ac:dyDescent="0.2">
      <c r="A120" s="279" t="str">
        <f>A96</f>
        <v>自由業(※1)(n = 12 )　　</v>
      </c>
      <c r="B120" s="113">
        <f t="shared" si="134"/>
        <v>9</v>
      </c>
      <c r="C120" s="129">
        <v>7</v>
      </c>
      <c r="D120" s="130">
        <v>6</v>
      </c>
      <c r="E120" s="130">
        <v>4</v>
      </c>
      <c r="F120" s="130">
        <v>0</v>
      </c>
      <c r="G120" s="130">
        <v>1</v>
      </c>
      <c r="H120" s="130">
        <v>2</v>
      </c>
      <c r="I120" s="130">
        <v>0</v>
      </c>
      <c r="J120" s="130">
        <v>0</v>
      </c>
      <c r="K120" s="131"/>
      <c r="L120" s="166">
        <f t="shared" si="135"/>
        <v>20</v>
      </c>
      <c r="M120" s="194">
        <v>6</v>
      </c>
    </row>
    <row r="121" spans="1:13" x14ac:dyDescent="0.2">
      <c r="A121" s="280"/>
      <c r="B121" s="199">
        <f t="shared" si="134"/>
        <v>1.1194029850746268</v>
      </c>
      <c r="C121" s="125">
        <v>77.777777777777786</v>
      </c>
      <c r="D121" s="126">
        <v>66.666666666666657</v>
      </c>
      <c r="E121" s="126">
        <v>44.444444444444443</v>
      </c>
      <c r="F121" s="126">
        <v>0</v>
      </c>
      <c r="G121" s="126">
        <v>11.111111111111111</v>
      </c>
      <c r="H121" s="126">
        <v>22.222222222222221</v>
      </c>
      <c r="I121" s="126">
        <v>0</v>
      </c>
      <c r="J121" s="126">
        <v>0</v>
      </c>
      <c r="K121" s="128"/>
      <c r="L121" s="166"/>
      <c r="M121" s="194">
        <v>7</v>
      </c>
    </row>
    <row r="122" spans="1:13" x14ac:dyDescent="0.2">
      <c r="A122" s="279" t="str">
        <f>A98</f>
        <v>会社・団体役員(n = 171 )　　</v>
      </c>
      <c r="B122" s="113">
        <f t="shared" si="134"/>
        <v>69</v>
      </c>
      <c r="C122" s="129">
        <v>61</v>
      </c>
      <c r="D122" s="130">
        <v>52</v>
      </c>
      <c r="E122" s="130">
        <v>10</v>
      </c>
      <c r="F122" s="130">
        <v>19</v>
      </c>
      <c r="G122" s="130">
        <v>6</v>
      </c>
      <c r="H122" s="130">
        <v>6</v>
      </c>
      <c r="I122" s="130">
        <v>3</v>
      </c>
      <c r="J122" s="130">
        <v>0</v>
      </c>
      <c r="K122" s="131"/>
      <c r="L122" s="166">
        <f t="shared" si="135"/>
        <v>157</v>
      </c>
      <c r="M122" s="194">
        <v>8</v>
      </c>
    </row>
    <row r="123" spans="1:13" x14ac:dyDescent="0.2">
      <c r="A123" s="280"/>
      <c r="B123" s="199">
        <f t="shared" si="134"/>
        <v>8.5820895522388057</v>
      </c>
      <c r="C123" s="125">
        <v>88.405797101449281</v>
      </c>
      <c r="D123" s="126">
        <v>75.362318840579718</v>
      </c>
      <c r="E123" s="126">
        <v>14.492753623188406</v>
      </c>
      <c r="F123" s="126">
        <v>27.536231884057973</v>
      </c>
      <c r="G123" s="126">
        <v>8.695652173913043</v>
      </c>
      <c r="H123" s="126">
        <v>8.695652173913043</v>
      </c>
      <c r="I123" s="126">
        <v>4.3478260869565215</v>
      </c>
      <c r="J123" s="126">
        <v>0</v>
      </c>
      <c r="K123" s="128"/>
      <c r="L123" s="166"/>
      <c r="M123" s="194">
        <v>9</v>
      </c>
    </row>
    <row r="124" spans="1:13" x14ac:dyDescent="0.2">
      <c r="A124" s="283" t="str">
        <f>A100</f>
        <v>正規の従業員・職員(n = 423 )　　</v>
      </c>
      <c r="B124" s="113">
        <f t="shared" si="134"/>
        <v>205</v>
      </c>
      <c r="C124" s="129">
        <v>179</v>
      </c>
      <c r="D124" s="130">
        <v>149</v>
      </c>
      <c r="E124" s="130">
        <v>40</v>
      </c>
      <c r="F124" s="130">
        <v>46</v>
      </c>
      <c r="G124" s="130">
        <v>27</v>
      </c>
      <c r="H124" s="130">
        <v>42</v>
      </c>
      <c r="I124" s="130">
        <v>6</v>
      </c>
      <c r="J124" s="130">
        <v>1</v>
      </c>
      <c r="K124" s="131"/>
      <c r="L124" s="166">
        <f t="shared" si="135"/>
        <v>490</v>
      </c>
      <c r="M124" s="194">
        <v>10</v>
      </c>
    </row>
    <row r="125" spans="1:13" x14ac:dyDescent="0.2">
      <c r="A125" s="284"/>
      <c r="B125" s="199">
        <f t="shared" si="134"/>
        <v>25.497512437810943</v>
      </c>
      <c r="C125" s="125">
        <v>87.317073170731703</v>
      </c>
      <c r="D125" s="126">
        <v>72.682926829268297</v>
      </c>
      <c r="E125" s="126">
        <v>19.512195121951219</v>
      </c>
      <c r="F125" s="126">
        <v>22.439024390243905</v>
      </c>
      <c r="G125" s="126">
        <v>13.170731707317074</v>
      </c>
      <c r="H125" s="126">
        <v>20.487804878048781</v>
      </c>
      <c r="I125" s="126">
        <v>2.9268292682926833</v>
      </c>
      <c r="J125" s="126">
        <v>0.48780487804878048</v>
      </c>
      <c r="K125" s="128"/>
      <c r="L125" s="166"/>
      <c r="M125" s="194">
        <v>11</v>
      </c>
    </row>
    <row r="126" spans="1:13" x14ac:dyDescent="0.2">
      <c r="A126" s="281" t="str">
        <f>A102</f>
        <v>パートタイム・アルバイト・派遣(n = 346 )　　</v>
      </c>
      <c r="B126" s="113">
        <f t="shared" si="134"/>
        <v>179</v>
      </c>
      <c r="C126" s="129">
        <v>166</v>
      </c>
      <c r="D126" s="130">
        <v>125</v>
      </c>
      <c r="E126" s="130">
        <v>48</v>
      </c>
      <c r="F126" s="130">
        <v>41</v>
      </c>
      <c r="G126" s="130">
        <v>25</v>
      </c>
      <c r="H126" s="130">
        <v>31</v>
      </c>
      <c r="I126" s="130">
        <v>11</v>
      </c>
      <c r="J126" s="130">
        <v>0</v>
      </c>
      <c r="K126" s="131"/>
      <c r="L126" s="166">
        <f t="shared" si="135"/>
        <v>447</v>
      </c>
      <c r="M126" s="194">
        <v>12</v>
      </c>
    </row>
    <row r="127" spans="1:13" x14ac:dyDescent="0.2">
      <c r="A127" s="282"/>
      <c r="B127" s="199">
        <f t="shared" si="134"/>
        <v>22.263681592039802</v>
      </c>
      <c r="C127" s="125">
        <v>92.737430167597765</v>
      </c>
      <c r="D127" s="126">
        <v>69.832402234636874</v>
      </c>
      <c r="E127" s="126">
        <v>26.815642458100559</v>
      </c>
      <c r="F127" s="126">
        <v>22.905027932960895</v>
      </c>
      <c r="G127" s="126">
        <v>13.966480446927374</v>
      </c>
      <c r="H127" s="126">
        <v>17.318435754189945</v>
      </c>
      <c r="I127" s="126">
        <v>6.1452513966480442</v>
      </c>
      <c r="J127" s="126">
        <v>0</v>
      </c>
      <c r="K127" s="128"/>
      <c r="L127" s="166"/>
      <c r="M127" s="194">
        <v>13</v>
      </c>
    </row>
    <row r="128" spans="1:13" x14ac:dyDescent="0.2">
      <c r="A128" s="279" t="str">
        <f>A104</f>
        <v>学生(n = 44 )　　</v>
      </c>
      <c r="B128" s="113">
        <f t="shared" si="134"/>
        <v>11</v>
      </c>
      <c r="C128" s="129">
        <v>7</v>
      </c>
      <c r="D128" s="130">
        <v>5</v>
      </c>
      <c r="E128" s="130">
        <v>2</v>
      </c>
      <c r="F128" s="130">
        <v>2</v>
      </c>
      <c r="G128" s="130">
        <v>2</v>
      </c>
      <c r="H128" s="130">
        <v>2</v>
      </c>
      <c r="I128" s="130">
        <v>0</v>
      </c>
      <c r="J128" s="130">
        <v>1</v>
      </c>
      <c r="K128" s="131"/>
      <c r="L128" s="166">
        <f t="shared" si="135"/>
        <v>21</v>
      </c>
      <c r="M128" s="194">
        <v>14</v>
      </c>
    </row>
    <row r="129" spans="1:21" x14ac:dyDescent="0.2">
      <c r="A129" s="280"/>
      <c r="B129" s="199">
        <f t="shared" si="134"/>
        <v>1.3681592039800996</v>
      </c>
      <c r="C129" s="125">
        <v>63.636363636363633</v>
      </c>
      <c r="D129" s="126">
        <v>45.454545454545453</v>
      </c>
      <c r="E129" s="126">
        <v>18.181818181818183</v>
      </c>
      <c r="F129" s="126">
        <v>18.181818181818183</v>
      </c>
      <c r="G129" s="126">
        <v>18.181818181818183</v>
      </c>
      <c r="H129" s="126">
        <v>18.181818181818183</v>
      </c>
      <c r="I129" s="126">
        <v>0</v>
      </c>
      <c r="J129" s="126">
        <v>9.0909090909090917</v>
      </c>
      <c r="K129" s="128"/>
      <c r="L129" s="166"/>
      <c r="M129" s="194">
        <v>15</v>
      </c>
    </row>
    <row r="130" spans="1:21" x14ac:dyDescent="0.2">
      <c r="A130" s="279" t="str">
        <f>A106</f>
        <v>家事従事(n = 150 )　　</v>
      </c>
      <c r="B130" s="113">
        <f t="shared" si="134"/>
        <v>71</v>
      </c>
      <c r="C130" s="129">
        <v>65</v>
      </c>
      <c r="D130" s="130">
        <v>49</v>
      </c>
      <c r="E130" s="130">
        <v>20</v>
      </c>
      <c r="F130" s="130">
        <v>17</v>
      </c>
      <c r="G130" s="130">
        <v>11</v>
      </c>
      <c r="H130" s="130">
        <v>4</v>
      </c>
      <c r="I130" s="130">
        <v>1</v>
      </c>
      <c r="J130" s="130">
        <v>0</v>
      </c>
      <c r="K130" s="131"/>
      <c r="L130" s="166">
        <f t="shared" si="135"/>
        <v>167</v>
      </c>
      <c r="M130" s="194">
        <v>16</v>
      </c>
    </row>
    <row r="131" spans="1:21" x14ac:dyDescent="0.2">
      <c r="A131" s="280"/>
      <c r="B131" s="199">
        <f t="shared" si="134"/>
        <v>8.8308457711442792</v>
      </c>
      <c r="C131" s="125">
        <v>91.549295774647888</v>
      </c>
      <c r="D131" s="126">
        <v>69.014084507042256</v>
      </c>
      <c r="E131" s="126">
        <v>28.169014084507044</v>
      </c>
      <c r="F131" s="126">
        <v>23.943661971830984</v>
      </c>
      <c r="G131" s="126">
        <v>15.492957746478872</v>
      </c>
      <c r="H131" s="126">
        <v>5.6338028169014089</v>
      </c>
      <c r="I131" s="126">
        <v>1.4084507042253522</v>
      </c>
      <c r="J131" s="126">
        <v>0</v>
      </c>
      <c r="K131" s="128"/>
      <c r="L131" s="166"/>
      <c r="M131" s="194">
        <v>17</v>
      </c>
    </row>
    <row r="132" spans="1:21" x14ac:dyDescent="0.2">
      <c r="A132" s="279" t="str">
        <f>A108</f>
        <v>無職(n = 263 )　　</v>
      </c>
      <c r="B132" s="113">
        <f t="shared" si="134"/>
        <v>156</v>
      </c>
      <c r="C132" s="129">
        <v>141</v>
      </c>
      <c r="D132" s="130">
        <v>72</v>
      </c>
      <c r="E132" s="130">
        <v>72</v>
      </c>
      <c r="F132" s="130">
        <v>32</v>
      </c>
      <c r="G132" s="130">
        <v>33</v>
      </c>
      <c r="H132" s="130">
        <v>4</v>
      </c>
      <c r="I132" s="130">
        <v>10</v>
      </c>
      <c r="J132" s="130">
        <v>0</v>
      </c>
      <c r="K132" s="131"/>
      <c r="L132" s="166">
        <f t="shared" si="135"/>
        <v>364</v>
      </c>
      <c r="M132" s="194">
        <v>18</v>
      </c>
    </row>
    <row r="133" spans="1:21" x14ac:dyDescent="0.2">
      <c r="A133" s="280"/>
      <c r="B133" s="199">
        <f t="shared" si="134"/>
        <v>19.402985074626866</v>
      </c>
      <c r="C133" s="125">
        <v>90.384615384615387</v>
      </c>
      <c r="D133" s="126">
        <v>46.153846153846153</v>
      </c>
      <c r="E133" s="126">
        <v>46.153846153846153</v>
      </c>
      <c r="F133" s="126">
        <v>20.512820512820511</v>
      </c>
      <c r="G133" s="126">
        <v>21.153846153846153</v>
      </c>
      <c r="H133" s="126">
        <v>2.5641025641025639</v>
      </c>
      <c r="I133" s="126">
        <v>6.4102564102564097</v>
      </c>
      <c r="J133" s="126">
        <v>0</v>
      </c>
      <c r="K133" s="128"/>
      <c r="L133" s="166"/>
      <c r="M133" s="194">
        <v>19</v>
      </c>
    </row>
    <row r="134" spans="1:21" x14ac:dyDescent="0.2">
      <c r="A134" s="279" t="str">
        <f>A110</f>
        <v>その他(n = 18 )　　</v>
      </c>
      <c r="B134" s="113">
        <f t="shared" si="134"/>
        <v>8</v>
      </c>
      <c r="C134" s="129">
        <v>5</v>
      </c>
      <c r="D134" s="130">
        <v>4</v>
      </c>
      <c r="E134" s="130">
        <v>2</v>
      </c>
      <c r="F134" s="130">
        <v>3</v>
      </c>
      <c r="G134" s="130">
        <v>1</v>
      </c>
      <c r="H134" s="130">
        <v>1</v>
      </c>
      <c r="I134" s="130">
        <v>1</v>
      </c>
      <c r="J134" s="130">
        <v>0</v>
      </c>
      <c r="K134" s="131"/>
      <c r="L134" s="166">
        <f t="shared" si="135"/>
        <v>17</v>
      </c>
      <c r="M134" s="194">
        <v>20</v>
      </c>
    </row>
    <row r="135" spans="1:21" x14ac:dyDescent="0.2">
      <c r="A135" s="280"/>
      <c r="B135" s="199">
        <f t="shared" si="134"/>
        <v>0.99502487562189057</v>
      </c>
      <c r="C135" s="125">
        <v>62.5</v>
      </c>
      <c r="D135" s="126">
        <v>50</v>
      </c>
      <c r="E135" s="126">
        <v>25</v>
      </c>
      <c r="F135" s="126">
        <v>37.5</v>
      </c>
      <c r="G135" s="126">
        <v>12.5</v>
      </c>
      <c r="H135" s="126">
        <v>12.5</v>
      </c>
      <c r="I135" s="126">
        <v>12.5</v>
      </c>
      <c r="J135" s="126">
        <v>0</v>
      </c>
      <c r="K135" s="128"/>
      <c r="L135" s="166"/>
      <c r="M135" s="194">
        <v>21</v>
      </c>
    </row>
    <row r="137" spans="1:21" ht="12.75" customHeight="1" x14ac:dyDescent="0.2">
      <c r="A137" s="36" t="s">
        <v>61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M137" s="45"/>
      <c r="N137" s="27">
        <v>1</v>
      </c>
      <c r="O137" s="27">
        <v>2</v>
      </c>
      <c r="P137" s="27">
        <v>3</v>
      </c>
      <c r="Q137" s="27">
        <v>4</v>
      </c>
      <c r="R137" s="27">
        <v>5</v>
      </c>
      <c r="S137" s="27">
        <v>6</v>
      </c>
      <c r="T137" s="27">
        <v>7</v>
      </c>
      <c r="U137" s="27">
        <v>8</v>
      </c>
    </row>
    <row r="138" spans="1:21" ht="67.5" customHeight="1" x14ac:dyDescent="0.2">
      <c r="A138" s="12" t="str">
        <f>A115</f>
        <v>【職業別】</v>
      </c>
      <c r="B138" s="59" t="str">
        <f>B115</f>
        <v>調査数</v>
      </c>
      <c r="C138" s="60" t="str">
        <f>C$12</f>
        <v>食品や日用品、光熱費などの
物価上昇による支出が増えた</v>
      </c>
      <c r="D138" s="61" t="str">
        <f t="shared" ref="D138:K138" si="136">D$12</f>
        <v>給料等の収入が増えない、または減った</v>
      </c>
      <c r="E138" s="61" t="str">
        <f t="shared" si="136"/>
        <v>医療・介護費の支出が増えた</v>
      </c>
      <c r="F138" s="61" t="str">
        <f t="shared" si="136"/>
        <v>税金の支出が増えた</v>
      </c>
      <c r="G138" s="61" t="str">
        <f t="shared" si="136"/>
        <v>各種保険料などの支出が増えた</v>
      </c>
      <c r="H138" s="61" t="str">
        <f t="shared" si="136"/>
        <v>保育・教育費の支出が増えた</v>
      </c>
      <c r="I138" s="61" t="str">
        <f t="shared" si="136"/>
        <v>その他</v>
      </c>
      <c r="J138" s="61" t="str">
        <f t="shared" si="136"/>
        <v>わからない</v>
      </c>
      <c r="K138" s="63" t="str">
        <f t="shared" si="136"/>
        <v>無回答</v>
      </c>
      <c r="L138" s="44" t="s">
        <v>32</v>
      </c>
      <c r="M138" s="12" t="str">
        <f>A138</f>
        <v>【職業別】</v>
      </c>
      <c r="N138" s="60" t="str">
        <f>C$12</f>
        <v>食品や日用品、光熱費などの
物価上昇による支出が増えた</v>
      </c>
      <c r="O138" s="61" t="str">
        <f t="shared" ref="O138" si="137">D$12</f>
        <v>給料等の収入が増えない、または減った</v>
      </c>
      <c r="P138" s="61" t="str">
        <f t="shared" ref="P138" si="138">E$12</f>
        <v>医療・介護費の支出が増えた</v>
      </c>
      <c r="Q138" s="61" t="str">
        <f t="shared" ref="Q138" si="139">F$12</f>
        <v>税金の支出が増えた</v>
      </c>
      <c r="R138" s="61" t="str">
        <f t="shared" ref="R138" si="140">G$12</f>
        <v>各種保険料などの支出が増えた</v>
      </c>
      <c r="S138" s="61" t="str">
        <f t="shared" ref="S138" si="141">H$12</f>
        <v>保育・教育費の支出が増えた</v>
      </c>
      <c r="T138" s="61" t="str">
        <f t="shared" ref="T138" si="142">I$12</f>
        <v>その他</v>
      </c>
      <c r="U138" s="63" t="str">
        <f t="shared" ref="U138" si="143">J$12</f>
        <v>わからない</v>
      </c>
    </row>
    <row r="139" spans="1:21" ht="12.75" customHeight="1" x14ac:dyDescent="0.2">
      <c r="A139" s="269" t="str">
        <f>A116</f>
        <v>全体(n = 808 )　　</v>
      </c>
      <c r="B139" s="113">
        <f>B116</f>
        <v>804</v>
      </c>
      <c r="C139" s="129">
        <f t="shared" ref="C139:J139" si="144">C116</f>
        <v>718</v>
      </c>
      <c r="D139" s="130">
        <f t="shared" si="144"/>
        <v>527</v>
      </c>
      <c r="E139" s="130">
        <f t="shared" si="144"/>
        <v>221</v>
      </c>
      <c r="F139" s="130">
        <f t="shared" si="144"/>
        <v>187</v>
      </c>
      <c r="G139" s="130">
        <f t="shared" si="144"/>
        <v>120</v>
      </c>
      <c r="H139" s="130">
        <f t="shared" si="144"/>
        <v>97</v>
      </c>
      <c r="I139" s="130">
        <f t="shared" si="144"/>
        <v>38</v>
      </c>
      <c r="J139" s="130">
        <f t="shared" si="144"/>
        <v>2</v>
      </c>
      <c r="K139" s="131"/>
      <c r="L139" s="104">
        <f>SUM($C139:K139)</f>
        <v>1910</v>
      </c>
      <c r="M139" s="93" t="str">
        <f>A141</f>
        <v>自営業(n = 175 )　　</v>
      </c>
      <c r="N139" s="84">
        <f t="shared" ref="N139:U139" si="145">C142</f>
        <v>90.625</v>
      </c>
      <c r="O139" s="85">
        <f t="shared" si="145"/>
        <v>67.708333333333343</v>
      </c>
      <c r="P139" s="85">
        <f t="shared" si="145"/>
        <v>23.958333333333336</v>
      </c>
      <c r="Q139" s="85">
        <f t="shared" si="145"/>
        <v>28.125</v>
      </c>
      <c r="R139" s="85">
        <f t="shared" si="145"/>
        <v>14.583333333333334</v>
      </c>
      <c r="S139" s="85">
        <f t="shared" si="145"/>
        <v>5.2083333333333339</v>
      </c>
      <c r="T139" s="85">
        <f t="shared" si="145"/>
        <v>6.25</v>
      </c>
      <c r="U139" s="87">
        <f t="shared" si="145"/>
        <v>0</v>
      </c>
    </row>
    <row r="140" spans="1:21" ht="12.75" customHeight="1" x14ac:dyDescent="0.2">
      <c r="A140" s="270"/>
      <c r="B140" s="114">
        <f>B117</f>
        <v>0</v>
      </c>
      <c r="C140" s="125">
        <f t="shared" ref="C140:J140" si="146">C117</f>
        <v>89.303482587064678</v>
      </c>
      <c r="D140" s="126">
        <f t="shared" si="146"/>
        <v>65.547263681592042</v>
      </c>
      <c r="E140" s="126">
        <f t="shared" si="146"/>
        <v>27.487562189054728</v>
      </c>
      <c r="F140" s="126">
        <f t="shared" si="146"/>
        <v>23.258706467661693</v>
      </c>
      <c r="G140" s="126">
        <f t="shared" si="146"/>
        <v>14.925373134328357</v>
      </c>
      <c r="H140" s="126">
        <f t="shared" si="146"/>
        <v>12.064676616915424</v>
      </c>
      <c r="I140" s="126">
        <f t="shared" si="146"/>
        <v>4.7263681592039797</v>
      </c>
      <c r="J140" s="126">
        <f t="shared" si="146"/>
        <v>0.24875621890547264</v>
      </c>
      <c r="K140" s="128"/>
      <c r="L140" s="104"/>
      <c r="M140" s="95" t="str">
        <f>A143</f>
        <v>会社・団体役員(n = 171 )　　</v>
      </c>
      <c r="N140" s="88">
        <f t="shared" ref="N140:U140" si="147">C144</f>
        <v>88.405797101449281</v>
      </c>
      <c r="O140" s="89">
        <f t="shared" si="147"/>
        <v>75.362318840579718</v>
      </c>
      <c r="P140" s="89">
        <f t="shared" si="147"/>
        <v>14.492753623188406</v>
      </c>
      <c r="Q140" s="89">
        <f t="shared" si="147"/>
        <v>27.536231884057973</v>
      </c>
      <c r="R140" s="89">
        <f t="shared" si="147"/>
        <v>8.695652173913043</v>
      </c>
      <c r="S140" s="89">
        <f t="shared" si="147"/>
        <v>8.695652173913043</v>
      </c>
      <c r="T140" s="89">
        <f t="shared" si="147"/>
        <v>4.3478260869565215</v>
      </c>
      <c r="U140" s="91">
        <f t="shared" si="147"/>
        <v>0</v>
      </c>
    </row>
    <row r="141" spans="1:21" ht="12.75" customHeight="1" x14ac:dyDescent="0.2">
      <c r="A141" s="285" t="str">
        <f>A118</f>
        <v>自営業(n = 175 )　　</v>
      </c>
      <c r="B141" s="113">
        <f>B118</f>
        <v>96</v>
      </c>
      <c r="C141" s="129">
        <f t="shared" ref="C141:J141" si="148">C118</f>
        <v>87</v>
      </c>
      <c r="D141" s="130">
        <f t="shared" si="148"/>
        <v>65</v>
      </c>
      <c r="E141" s="130">
        <f t="shared" si="148"/>
        <v>23</v>
      </c>
      <c r="F141" s="130">
        <f t="shared" si="148"/>
        <v>27</v>
      </c>
      <c r="G141" s="130">
        <f t="shared" si="148"/>
        <v>14</v>
      </c>
      <c r="H141" s="130">
        <f t="shared" si="148"/>
        <v>5</v>
      </c>
      <c r="I141" s="130">
        <f t="shared" si="148"/>
        <v>6</v>
      </c>
      <c r="J141" s="130">
        <f t="shared" si="148"/>
        <v>0</v>
      </c>
      <c r="K141" s="131"/>
      <c r="L141" s="104">
        <f>SUM($C141:K141)</f>
        <v>227</v>
      </c>
      <c r="M141" s="95" t="str">
        <f>A145</f>
        <v>正規の従業員・職員(n = 423 )　　</v>
      </c>
      <c r="N141" s="88">
        <f t="shared" ref="N141:U141" si="149">C146</f>
        <v>87.317073170731703</v>
      </c>
      <c r="O141" s="89">
        <f t="shared" si="149"/>
        <v>72.682926829268297</v>
      </c>
      <c r="P141" s="89">
        <f t="shared" si="149"/>
        <v>19.512195121951219</v>
      </c>
      <c r="Q141" s="89">
        <f t="shared" si="149"/>
        <v>22.439024390243905</v>
      </c>
      <c r="R141" s="89">
        <f t="shared" si="149"/>
        <v>13.170731707317074</v>
      </c>
      <c r="S141" s="89">
        <f t="shared" si="149"/>
        <v>20.487804878048781</v>
      </c>
      <c r="T141" s="89">
        <f t="shared" si="149"/>
        <v>2.9268292682926833</v>
      </c>
      <c r="U141" s="91">
        <f t="shared" si="149"/>
        <v>0.48780487804878048</v>
      </c>
    </row>
    <row r="142" spans="1:21" ht="13.5" customHeight="1" x14ac:dyDescent="0.2">
      <c r="A142" s="286"/>
      <c r="B142" s="114">
        <f>B119</f>
        <v>11.940298507462686</v>
      </c>
      <c r="C142" s="125">
        <f t="shared" ref="C142:J142" si="150">C119</f>
        <v>90.625</v>
      </c>
      <c r="D142" s="126">
        <f t="shared" si="150"/>
        <v>67.708333333333343</v>
      </c>
      <c r="E142" s="126">
        <f t="shared" si="150"/>
        <v>23.958333333333336</v>
      </c>
      <c r="F142" s="126">
        <f t="shared" si="150"/>
        <v>28.125</v>
      </c>
      <c r="G142" s="126">
        <f t="shared" si="150"/>
        <v>14.583333333333334</v>
      </c>
      <c r="H142" s="126">
        <f t="shared" si="150"/>
        <v>5.2083333333333339</v>
      </c>
      <c r="I142" s="126">
        <f t="shared" si="150"/>
        <v>6.25</v>
      </c>
      <c r="J142" s="126">
        <f t="shared" si="150"/>
        <v>0</v>
      </c>
      <c r="K142" s="128"/>
      <c r="L142" s="104"/>
      <c r="M142" s="95" t="str">
        <f>A147</f>
        <v>パートタイム・アルバイト・派遣(n = 346 )　　</v>
      </c>
      <c r="N142" s="88">
        <f t="shared" ref="N142:U142" si="151">C148</f>
        <v>92.737430167597765</v>
      </c>
      <c r="O142" s="89">
        <f t="shared" si="151"/>
        <v>69.832402234636874</v>
      </c>
      <c r="P142" s="89">
        <f t="shared" si="151"/>
        <v>26.815642458100559</v>
      </c>
      <c r="Q142" s="89">
        <f t="shared" si="151"/>
        <v>22.905027932960895</v>
      </c>
      <c r="R142" s="89">
        <f t="shared" si="151"/>
        <v>13.966480446927374</v>
      </c>
      <c r="S142" s="89">
        <f t="shared" si="151"/>
        <v>17.318435754189945</v>
      </c>
      <c r="T142" s="89">
        <f t="shared" si="151"/>
        <v>6.1452513966480442</v>
      </c>
      <c r="U142" s="91">
        <f t="shared" si="151"/>
        <v>0</v>
      </c>
    </row>
    <row r="143" spans="1:21" ht="13.5" customHeight="1" x14ac:dyDescent="0.2">
      <c r="A143" s="285" t="str">
        <f>A122</f>
        <v>会社・団体役員(n = 171 )　　</v>
      </c>
      <c r="B143" s="113">
        <f>B122</f>
        <v>69</v>
      </c>
      <c r="C143" s="129">
        <f>C122</f>
        <v>61</v>
      </c>
      <c r="D143" s="130">
        <f t="shared" ref="D143:J143" si="152">D122</f>
        <v>52</v>
      </c>
      <c r="E143" s="130">
        <f t="shared" si="152"/>
        <v>10</v>
      </c>
      <c r="F143" s="130">
        <f t="shared" si="152"/>
        <v>19</v>
      </c>
      <c r="G143" s="130">
        <f t="shared" si="152"/>
        <v>6</v>
      </c>
      <c r="H143" s="130">
        <f t="shared" si="152"/>
        <v>6</v>
      </c>
      <c r="I143" s="130">
        <f t="shared" si="152"/>
        <v>3</v>
      </c>
      <c r="J143" s="130">
        <f t="shared" si="152"/>
        <v>0</v>
      </c>
      <c r="K143" s="131"/>
      <c r="L143" s="104">
        <f>SUM($C143:K143)</f>
        <v>157</v>
      </c>
      <c r="M143" s="96" t="str">
        <f>A149</f>
        <v>家事従事(n = 150 )　　</v>
      </c>
      <c r="N143" s="97">
        <f t="shared" ref="N143:U143" si="153">C150</f>
        <v>91.549295774647888</v>
      </c>
      <c r="O143" s="98">
        <f t="shared" si="153"/>
        <v>69.014084507042256</v>
      </c>
      <c r="P143" s="98">
        <f t="shared" si="153"/>
        <v>28.169014084507044</v>
      </c>
      <c r="Q143" s="98">
        <f t="shared" si="153"/>
        <v>23.943661971830984</v>
      </c>
      <c r="R143" s="98">
        <f t="shared" si="153"/>
        <v>15.492957746478872</v>
      </c>
      <c r="S143" s="98">
        <f t="shared" si="153"/>
        <v>5.6338028169014089</v>
      </c>
      <c r="T143" s="98">
        <f t="shared" si="153"/>
        <v>1.4084507042253522</v>
      </c>
      <c r="U143" s="99">
        <f t="shared" si="153"/>
        <v>0</v>
      </c>
    </row>
    <row r="144" spans="1:21" ht="13.5" customHeight="1" x14ac:dyDescent="0.2">
      <c r="A144" s="286"/>
      <c r="B144" s="114">
        <f t="shared" ref="B144:J148" si="154">B123</f>
        <v>8.5820895522388057</v>
      </c>
      <c r="C144" s="125">
        <f t="shared" si="154"/>
        <v>88.405797101449281</v>
      </c>
      <c r="D144" s="126">
        <f t="shared" si="154"/>
        <v>75.362318840579718</v>
      </c>
      <c r="E144" s="126">
        <f t="shared" si="154"/>
        <v>14.492753623188406</v>
      </c>
      <c r="F144" s="126">
        <f t="shared" si="154"/>
        <v>27.536231884057973</v>
      </c>
      <c r="G144" s="126">
        <f t="shared" si="154"/>
        <v>8.695652173913043</v>
      </c>
      <c r="H144" s="126">
        <f t="shared" si="154"/>
        <v>8.695652173913043</v>
      </c>
      <c r="I144" s="126">
        <f t="shared" si="154"/>
        <v>4.3478260869565215</v>
      </c>
      <c r="J144" s="126">
        <f t="shared" si="154"/>
        <v>0</v>
      </c>
      <c r="K144" s="128"/>
      <c r="L144" s="104"/>
      <c r="M144" s="95" t="str">
        <f>A151</f>
        <v>無職(n = 263 )　　</v>
      </c>
      <c r="N144" s="88">
        <f t="shared" ref="N144:U144" si="155">C152</f>
        <v>90.384615384615387</v>
      </c>
      <c r="O144" s="89">
        <f t="shared" si="155"/>
        <v>46.153846153846153</v>
      </c>
      <c r="P144" s="89">
        <f t="shared" si="155"/>
        <v>46.153846153846153</v>
      </c>
      <c r="Q144" s="89">
        <f t="shared" si="155"/>
        <v>20.512820512820511</v>
      </c>
      <c r="R144" s="89">
        <f t="shared" si="155"/>
        <v>21.153846153846153</v>
      </c>
      <c r="S144" s="89">
        <f t="shared" si="155"/>
        <v>2.5641025641025639</v>
      </c>
      <c r="T144" s="89">
        <f t="shared" si="155"/>
        <v>6.4102564102564097</v>
      </c>
      <c r="U144" s="91">
        <f t="shared" si="155"/>
        <v>0</v>
      </c>
    </row>
    <row r="145" spans="1:21" ht="13.5" customHeight="1" x14ac:dyDescent="0.2">
      <c r="A145" s="287" t="str">
        <f t="shared" ref="A145" si="156">A124</f>
        <v>正規の従業員・職員(n = 423 )　　</v>
      </c>
      <c r="B145" s="113">
        <f t="shared" si="154"/>
        <v>205</v>
      </c>
      <c r="C145" s="129">
        <f t="shared" si="154"/>
        <v>179</v>
      </c>
      <c r="D145" s="130">
        <f t="shared" si="154"/>
        <v>149</v>
      </c>
      <c r="E145" s="130">
        <f t="shared" si="154"/>
        <v>40</v>
      </c>
      <c r="F145" s="130">
        <f t="shared" si="154"/>
        <v>46</v>
      </c>
      <c r="G145" s="130">
        <f t="shared" si="154"/>
        <v>27</v>
      </c>
      <c r="H145" s="130">
        <f t="shared" si="154"/>
        <v>42</v>
      </c>
      <c r="I145" s="130">
        <f t="shared" si="154"/>
        <v>6</v>
      </c>
      <c r="J145" s="130">
        <f t="shared" si="154"/>
        <v>1</v>
      </c>
      <c r="K145" s="131"/>
      <c r="L145" s="104">
        <f>SUM($C145:K145)</f>
        <v>490</v>
      </c>
      <c r="M145" s="94" t="str">
        <f>A153</f>
        <v>その他(n = 85 )　　</v>
      </c>
      <c r="N145" s="78">
        <f t="shared" ref="N145:U145" si="157">C154</f>
        <v>67.900000000000006</v>
      </c>
      <c r="O145" s="79">
        <f t="shared" si="157"/>
        <v>53.6</v>
      </c>
      <c r="P145" s="79">
        <f t="shared" si="157"/>
        <v>28.6</v>
      </c>
      <c r="Q145" s="79">
        <f t="shared" si="157"/>
        <v>17.899999999999999</v>
      </c>
      <c r="R145" s="79">
        <f t="shared" si="157"/>
        <v>14.3</v>
      </c>
      <c r="S145" s="79">
        <f t="shared" si="157"/>
        <v>17.899999999999999</v>
      </c>
      <c r="T145" s="79">
        <f t="shared" si="157"/>
        <v>3.6</v>
      </c>
      <c r="U145" s="81">
        <f t="shared" si="157"/>
        <v>3.6</v>
      </c>
    </row>
    <row r="146" spans="1:21" x14ac:dyDescent="0.2">
      <c r="A146" s="288"/>
      <c r="B146" s="114">
        <f t="shared" si="154"/>
        <v>25.497512437810943</v>
      </c>
      <c r="C146" s="125">
        <f t="shared" si="154"/>
        <v>87.317073170731703</v>
      </c>
      <c r="D146" s="126">
        <f t="shared" si="154"/>
        <v>72.682926829268297</v>
      </c>
      <c r="E146" s="126">
        <f t="shared" si="154"/>
        <v>19.512195121951219</v>
      </c>
      <c r="F146" s="126">
        <f t="shared" si="154"/>
        <v>22.439024390243905</v>
      </c>
      <c r="G146" s="126">
        <f t="shared" si="154"/>
        <v>13.170731707317074</v>
      </c>
      <c r="H146" s="126">
        <f t="shared" si="154"/>
        <v>20.487804878048781</v>
      </c>
      <c r="I146" s="126">
        <f t="shared" si="154"/>
        <v>2.9268292682926833</v>
      </c>
      <c r="J146" s="126">
        <f t="shared" si="154"/>
        <v>0.48780487804878048</v>
      </c>
      <c r="K146" s="128"/>
      <c r="L146" s="104"/>
    </row>
    <row r="147" spans="1:21" x14ac:dyDescent="0.2">
      <c r="A147" s="289" t="str">
        <f t="shared" ref="A147" si="158">A126</f>
        <v>パートタイム・アルバイト・派遣(n = 346 )　　</v>
      </c>
      <c r="B147" s="113">
        <f t="shared" si="154"/>
        <v>179</v>
      </c>
      <c r="C147" s="129">
        <f t="shared" si="154"/>
        <v>166</v>
      </c>
      <c r="D147" s="130">
        <f t="shared" si="154"/>
        <v>125</v>
      </c>
      <c r="E147" s="130">
        <f t="shared" si="154"/>
        <v>48</v>
      </c>
      <c r="F147" s="130">
        <f t="shared" si="154"/>
        <v>41</v>
      </c>
      <c r="G147" s="130">
        <f t="shared" si="154"/>
        <v>25</v>
      </c>
      <c r="H147" s="130">
        <f t="shared" si="154"/>
        <v>31</v>
      </c>
      <c r="I147" s="130">
        <f t="shared" si="154"/>
        <v>11</v>
      </c>
      <c r="J147" s="130">
        <f t="shared" si="154"/>
        <v>0</v>
      </c>
      <c r="K147" s="131"/>
      <c r="L147" s="104">
        <f>SUM($C147:K147)</f>
        <v>447</v>
      </c>
    </row>
    <row r="148" spans="1:21" x14ac:dyDescent="0.2">
      <c r="A148" s="290"/>
      <c r="B148" s="114">
        <f t="shared" si="154"/>
        <v>22.263681592039802</v>
      </c>
      <c r="C148" s="125">
        <f t="shared" si="154"/>
        <v>92.737430167597765</v>
      </c>
      <c r="D148" s="126">
        <f t="shared" si="154"/>
        <v>69.832402234636874</v>
      </c>
      <c r="E148" s="126">
        <f t="shared" si="154"/>
        <v>26.815642458100559</v>
      </c>
      <c r="F148" s="126">
        <f t="shared" si="154"/>
        <v>22.905027932960895</v>
      </c>
      <c r="G148" s="126">
        <f t="shared" si="154"/>
        <v>13.966480446927374</v>
      </c>
      <c r="H148" s="126">
        <f t="shared" si="154"/>
        <v>17.318435754189945</v>
      </c>
      <c r="I148" s="126">
        <f t="shared" si="154"/>
        <v>6.1452513966480442</v>
      </c>
      <c r="J148" s="126">
        <f t="shared" si="154"/>
        <v>0</v>
      </c>
      <c r="K148" s="128"/>
      <c r="L148" s="104"/>
    </row>
    <row r="149" spans="1:21" x14ac:dyDescent="0.2">
      <c r="A149" s="285" t="str">
        <f>A130</f>
        <v>家事従事(n = 150 )　　</v>
      </c>
      <c r="B149" s="113">
        <f>B130</f>
        <v>71</v>
      </c>
      <c r="C149" s="129">
        <f>C130</f>
        <v>65</v>
      </c>
      <c r="D149" s="130">
        <f t="shared" ref="D149:J149" si="159">D130</f>
        <v>49</v>
      </c>
      <c r="E149" s="130">
        <f t="shared" si="159"/>
        <v>20</v>
      </c>
      <c r="F149" s="130">
        <f t="shared" si="159"/>
        <v>17</v>
      </c>
      <c r="G149" s="130">
        <f t="shared" si="159"/>
        <v>11</v>
      </c>
      <c r="H149" s="130">
        <f t="shared" si="159"/>
        <v>4</v>
      </c>
      <c r="I149" s="130">
        <f t="shared" si="159"/>
        <v>1</v>
      </c>
      <c r="J149" s="130">
        <f t="shared" si="159"/>
        <v>0</v>
      </c>
      <c r="K149" s="131"/>
      <c r="L149" s="104">
        <f>SUM($C149:K149)</f>
        <v>167</v>
      </c>
    </row>
    <row r="150" spans="1:21" x14ac:dyDescent="0.2">
      <c r="A150" s="286"/>
      <c r="B150" s="114">
        <f t="shared" ref="B150:J152" si="160">B131</f>
        <v>8.8308457711442792</v>
      </c>
      <c r="C150" s="125">
        <f t="shared" si="160"/>
        <v>91.549295774647888</v>
      </c>
      <c r="D150" s="126">
        <f t="shared" si="160"/>
        <v>69.014084507042256</v>
      </c>
      <c r="E150" s="126">
        <f t="shared" si="160"/>
        <v>28.169014084507044</v>
      </c>
      <c r="F150" s="126">
        <f t="shared" si="160"/>
        <v>23.943661971830984</v>
      </c>
      <c r="G150" s="126">
        <f t="shared" si="160"/>
        <v>15.492957746478872</v>
      </c>
      <c r="H150" s="126">
        <f t="shared" si="160"/>
        <v>5.6338028169014089</v>
      </c>
      <c r="I150" s="126">
        <f t="shared" si="160"/>
        <v>1.4084507042253522</v>
      </c>
      <c r="J150" s="126">
        <f t="shared" si="160"/>
        <v>0</v>
      </c>
      <c r="K150" s="128"/>
      <c r="L150" s="104"/>
    </row>
    <row r="151" spans="1:21" x14ac:dyDescent="0.2">
      <c r="A151" s="285" t="str">
        <f>A132</f>
        <v>無職(n = 263 )　　</v>
      </c>
      <c r="B151" s="113">
        <f t="shared" si="160"/>
        <v>156</v>
      </c>
      <c r="C151" s="129">
        <f t="shared" si="160"/>
        <v>141</v>
      </c>
      <c r="D151" s="130">
        <f t="shared" si="160"/>
        <v>72</v>
      </c>
      <c r="E151" s="130">
        <f t="shared" si="160"/>
        <v>72</v>
      </c>
      <c r="F151" s="130">
        <f t="shared" si="160"/>
        <v>32</v>
      </c>
      <c r="G151" s="130">
        <f t="shared" si="160"/>
        <v>33</v>
      </c>
      <c r="H151" s="130">
        <f t="shared" si="160"/>
        <v>4</v>
      </c>
      <c r="I151" s="130">
        <f t="shared" si="160"/>
        <v>10</v>
      </c>
      <c r="J151" s="130">
        <f t="shared" si="160"/>
        <v>0</v>
      </c>
      <c r="K151" s="131"/>
      <c r="L151" s="104">
        <f>SUM($C151:K151)</f>
        <v>364</v>
      </c>
    </row>
    <row r="152" spans="1:21" x14ac:dyDescent="0.2">
      <c r="A152" s="286"/>
      <c r="B152" s="114">
        <f t="shared" si="160"/>
        <v>19.402985074626866</v>
      </c>
      <c r="C152" s="125">
        <f t="shared" si="160"/>
        <v>90.384615384615387</v>
      </c>
      <c r="D152" s="126">
        <f t="shared" si="160"/>
        <v>46.153846153846153</v>
      </c>
      <c r="E152" s="126">
        <f t="shared" si="160"/>
        <v>46.153846153846153</v>
      </c>
      <c r="F152" s="126">
        <f t="shared" si="160"/>
        <v>20.512820512820511</v>
      </c>
      <c r="G152" s="126">
        <f t="shared" si="160"/>
        <v>21.153846153846153</v>
      </c>
      <c r="H152" s="126">
        <f t="shared" si="160"/>
        <v>2.5641025641025639</v>
      </c>
      <c r="I152" s="126">
        <f t="shared" si="160"/>
        <v>6.4102564102564097</v>
      </c>
      <c r="J152" s="126">
        <f t="shared" si="160"/>
        <v>0</v>
      </c>
      <c r="K152" s="128"/>
      <c r="L152" s="104"/>
    </row>
    <row r="153" spans="1:21" ht="13.5" customHeight="1" x14ac:dyDescent="0.2">
      <c r="A153" s="259" t="str">
        <f>"その他(n = 85 )　　"</f>
        <v>その他(n = 85 )　　</v>
      </c>
      <c r="B153" s="113">
        <f>B120+B128+B134</f>
        <v>28</v>
      </c>
      <c r="C153" s="129">
        <f t="shared" ref="C153:J153" si="161">C120+C128+C134</f>
        <v>19</v>
      </c>
      <c r="D153" s="130">
        <f t="shared" si="161"/>
        <v>15</v>
      </c>
      <c r="E153" s="130">
        <f t="shared" si="161"/>
        <v>8</v>
      </c>
      <c r="F153" s="130">
        <f t="shared" si="161"/>
        <v>5</v>
      </c>
      <c r="G153" s="130">
        <f t="shared" si="161"/>
        <v>4</v>
      </c>
      <c r="H153" s="130">
        <f t="shared" si="161"/>
        <v>5</v>
      </c>
      <c r="I153" s="130">
        <f t="shared" si="161"/>
        <v>1</v>
      </c>
      <c r="J153" s="130">
        <f t="shared" si="161"/>
        <v>1</v>
      </c>
      <c r="K153" s="131"/>
      <c r="L153" s="104">
        <f>SUM($C153:K153)</f>
        <v>58</v>
      </c>
      <c r="M153" s="166"/>
    </row>
    <row r="154" spans="1:21" x14ac:dyDescent="0.2">
      <c r="A154" s="260"/>
      <c r="B154" s="114">
        <f>ROUND(B153/$B139*100,1)</f>
        <v>3.5</v>
      </c>
      <c r="C154" s="125">
        <f t="shared" ref="C154:J154" si="162">ROUND(C153/$B153*100,1)</f>
        <v>67.900000000000006</v>
      </c>
      <c r="D154" s="126">
        <f t="shared" si="162"/>
        <v>53.6</v>
      </c>
      <c r="E154" s="126">
        <f t="shared" si="162"/>
        <v>28.6</v>
      </c>
      <c r="F154" s="126">
        <f t="shared" si="162"/>
        <v>17.899999999999999</v>
      </c>
      <c r="G154" s="126">
        <f t="shared" si="162"/>
        <v>14.3</v>
      </c>
      <c r="H154" s="126">
        <f t="shared" si="162"/>
        <v>17.899999999999999</v>
      </c>
      <c r="I154" s="126">
        <f t="shared" si="162"/>
        <v>3.6</v>
      </c>
      <c r="J154" s="126">
        <f t="shared" si="162"/>
        <v>3.6</v>
      </c>
      <c r="K154" s="128"/>
      <c r="L154" s="104"/>
    </row>
    <row r="155" spans="1:21" x14ac:dyDescent="0.2">
      <c r="L155" s="166"/>
    </row>
  </sheetData>
  <mergeCells count="62">
    <mergeCell ref="A153:A154"/>
    <mergeCell ref="A128:A129"/>
    <mergeCell ref="A130:A131"/>
    <mergeCell ref="A132:A133"/>
    <mergeCell ref="A134:A135"/>
    <mergeCell ref="A139:A140"/>
    <mergeCell ref="A141:A142"/>
    <mergeCell ref="A143:A144"/>
    <mergeCell ref="A145:A146"/>
    <mergeCell ref="A147:A148"/>
    <mergeCell ref="A149:A150"/>
    <mergeCell ref="A151:A152"/>
    <mergeCell ref="A126:A127"/>
    <mergeCell ref="A100:A101"/>
    <mergeCell ref="A102:A103"/>
    <mergeCell ref="A104:A105"/>
    <mergeCell ref="A106:A107"/>
    <mergeCell ref="A108:A109"/>
    <mergeCell ref="A110:A111"/>
    <mergeCell ref="A116:A117"/>
    <mergeCell ref="A118:A119"/>
    <mergeCell ref="A120:A121"/>
    <mergeCell ref="A122:A123"/>
    <mergeCell ref="A124:A125"/>
    <mergeCell ref="A98:A99"/>
    <mergeCell ref="A69:A70"/>
    <mergeCell ref="A71:A72"/>
    <mergeCell ref="A77:A78"/>
    <mergeCell ref="A79:A80"/>
    <mergeCell ref="A81:A82"/>
    <mergeCell ref="A83:A84"/>
    <mergeCell ref="A85:A86"/>
    <mergeCell ref="A87:A88"/>
    <mergeCell ref="A92:A93"/>
    <mergeCell ref="A94:A95"/>
    <mergeCell ref="A96:A97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S175"/>
  <sheetViews>
    <sheetView zoomScaleNormal="100" workbookViewId="0"/>
  </sheetViews>
  <sheetFormatPr defaultRowHeight="13.2" x14ac:dyDescent="0.2"/>
  <sheetData>
    <row r="1" spans="1:12" x14ac:dyDescent="0.2">
      <c r="A1" s="3" t="s">
        <v>246</v>
      </c>
      <c r="B1" s="1" t="s">
        <v>34</v>
      </c>
      <c r="C1" s="8"/>
      <c r="D1" s="8"/>
      <c r="E1" s="8"/>
      <c r="F1" s="8"/>
      <c r="G1" s="8"/>
      <c r="H1" s="9" t="s">
        <v>1</v>
      </c>
    </row>
    <row r="2" spans="1:12" x14ac:dyDescent="0.2">
      <c r="A2" s="10" t="s">
        <v>7</v>
      </c>
      <c r="B2" s="10"/>
      <c r="C2" s="8"/>
      <c r="D2" s="8"/>
      <c r="E2" s="8"/>
      <c r="F2" s="8"/>
      <c r="G2" s="8"/>
      <c r="H2" s="8"/>
    </row>
    <row r="3" spans="1:12" x14ac:dyDescent="0.2">
      <c r="A3" s="133" t="s">
        <v>8</v>
      </c>
      <c r="B3" s="132" t="s">
        <v>156</v>
      </c>
      <c r="C3" s="52" t="s">
        <v>173</v>
      </c>
      <c r="D3" s="52" t="s">
        <v>184</v>
      </c>
      <c r="E3" s="53" t="s">
        <v>185</v>
      </c>
      <c r="F3" s="52" t="s">
        <v>186</v>
      </c>
      <c r="G3" s="52" t="s">
        <v>245</v>
      </c>
      <c r="H3" s="53" t="s">
        <v>249</v>
      </c>
      <c r="I3" s="54" t="s">
        <v>251</v>
      </c>
      <c r="J3" s="25"/>
    </row>
    <row r="4" spans="1:12" x14ac:dyDescent="0.2">
      <c r="A4" s="134" t="s">
        <v>35</v>
      </c>
      <c r="B4" s="137">
        <v>48</v>
      </c>
      <c r="C4" s="115">
        <v>54.198473282442748</v>
      </c>
      <c r="D4" s="115">
        <v>57.5</v>
      </c>
      <c r="E4" s="116">
        <v>46.6</v>
      </c>
      <c r="F4" s="115">
        <v>47.3</v>
      </c>
      <c r="G4" s="115">
        <v>59.8</v>
      </c>
      <c r="H4" s="116">
        <v>54.385964912280699</v>
      </c>
      <c r="I4" s="190">
        <f>C38+D38</f>
        <v>55.462184873949582</v>
      </c>
      <c r="J4" s="25">
        <f>I4-I5</f>
        <v>11.764705882352942</v>
      </c>
    </row>
    <row r="5" spans="1:12" x14ac:dyDescent="0.2">
      <c r="A5" s="135" t="s">
        <v>36</v>
      </c>
      <c r="B5" s="138">
        <v>46</v>
      </c>
      <c r="C5" s="117">
        <v>43.511450381679388</v>
      </c>
      <c r="D5" s="117">
        <v>39.4</v>
      </c>
      <c r="E5" s="118">
        <v>50.699999999999996</v>
      </c>
      <c r="F5" s="117">
        <v>50</v>
      </c>
      <c r="G5" s="117">
        <v>36.1</v>
      </c>
      <c r="H5" s="118">
        <v>42.982456140350877</v>
      </c>
      <c r="I5" s="191">
        <f>E38+F38</f>
        <v>43.69747899159664</v>
      </c>
      <c r="J5" s="25"/>
    </row>
    <row r="6" spans="1:12" x14ac:dyDescent="0.2">
      <c r="A6" s="133" t="s">
        <v>12</v>
      </c>
      <c r="B6" s="132" t="s">
        <v>156</v>
      </c>
      <c r="C6" s="52" t="s">
        <v>173</v>
      </c>
      <c r="D6" s="52" t="s">
        <v>184</v>
      </c>
      <c r="E6" s="53" t="s">
        <v>185</v>
      </c>
      <c r="F6" s="52" t="s">
        <v>186</v>
      </c>
      <c r="G6" s="52" t="s">
        <v>245</v>
      </c>
      <c r="H6" s="53" t="s">
        <v>249</v>
      </c>
      <c r="I6" s="54" t="s">
        <v>251</v>
      </c>
      <c r="J6" s="25"/>
      <c r="L6" s="7"/>
    </row>
    <row r="7" spans="1:12" x14ac:dyDescent="0.2">
      <c r="A7" s="134" t="s">
        <v>35</v>
      </c>
      <c r="B7" s="137">
        <v>42</v>
      </c>
      <c r="C7" s="115">
        <v>48.743718592964825</v>
      </c>
      <c r="D7" s="115">
        <v>47.8</v>
      </c>
      <c r="E7" s="116">
        <v>56.099999999999994</v>
      </c>
      <c r="F7" s="115">
        <v>55.5</v>
      </c>
      <c r="G7" s="115">
        <v>51</v>
      </c>
      <c r="H7" s="116">
        <v>52.8</v>
      </c>
      <c r="I7" s="190">
        <v>52.8</v>
      </c>
      <c r="J7" s="25">
        <f t="shared" ref="J7:J19" si="0">I7-I8</f>
        <v>-2.3020408163265316</v>
      </c>
    </row>
    <row r="8" spans="1:12" x14ac:dyDescent="0.2">
      <c r="A8" s="135" t="s">
        <v>36</v>
      </c>
      <c r="B8" s="138">
        <v>56</v>
      </c>
      <c r="C8" s="117">
        <v>48.743718592964825</v>
      </c>
      <c r="D8" s="117">
        <v>50.3</v>
      </c>
      <c r="E8" s="118">
        <v>40</v>
      </c>
      <c r="F8" s="117">
        <v>43.9</v>
      </c>
      <c r="G8" s="117">
        <v>45.2</v>
      </c>
      <c r="H8" s="118">
        <v>43.678160919540232</v>
      </c>
      <c r="I8" s="191">
        <f>E40+F40</f>
        <v>55.102040816326529</v>
      </c>
      <c r="J8" s="25"/>
    </row>
    <row r="9" spans="1:12" x14ac:dyDescent="0.2">
      <c r="A9" s="133" t="s">
        <v>14</v>
      </c>
      <c r="B9" s="132" t="s">
        <v>156</v>
      </c>
      <c r="C9" s="52" t="s">
        <v>173</v>
      </c>
      <c r="D9" s="52" t="s">
        <v>184</v>
      </c>
      <c r="E9" s="53" t="s">
        <v>185</v>
      </c>
      <c r="F9" s="52" t="s">
        <v>186</v>
      </c>
      <c r="G9" s="52" t="s">
        <v>245</v>
      </c>
      <c r="H9" s="53" t="s">
        <v>249</v>
      </c>
      <c r="I9" s="54" t="str">
        <f>I6</f>
        <v>R4</v>
      </c>
      <c r="J9" s="25"/>
    </row>
    <row r="10" spans="1:12" x14ac:dyDescent="0.2">
      <c r="A10" s="134" t="s">
        <v>35</v>
      </c>
      <c r="B10" s="137">
        <v>37.6</v>
      </c>
      <c r="C10" s="115">
        <v>39.2156862745098</v>
      </c>
      <c r="D10" s="115">
        <v>42.7</v>
      </c>
      <c r="E10" s="116">
        <v>50.4</v>
      </c>
      <c r="F10" s="115">
        <v>47</v>
      </c>
      <c r="G10" s="115">
        <v>48.9</v>
      </c>
      <c r="H10" s="116">
        <v>51.405622489959839</v>
      </c>
      <c r="I10" s="190">
        <f>C42+D42</f>
        <v>46.263345195729535</v>
      </c>
      <c r="J10" s="25">
        <f t="shared" si="0"/>
        <v>-4.270462633451956</v>
      </c>
    </row>
    <row r="11" spans="1:12" x14ac:dyDescent="0.2">
      <c r="A11" s="135" t="s">
        <v>36</v>
      </c>
      <c r="B11" s="138">
        <v>58</v>
      </c>
      <c r="C11" s="117">
        <v>56.862745098039213</v>
      </c>
      <c r="D11" s="117">
        <v>52.6</v>
      </c>
      <c r="E11" s="118">
        <v>47.1</v>
      </c>
      <c r="F11" s="117">
        <v>51.300000000000004</v>
      </c>
      <c r="G11" s="117">
        <v>45.7</v>
      </c>
      <c r="H11" s="118">
        <v>44.979919678714865</v>
      </c>
      <c r="I11" s="191">
        <f>E42+F42</f>
        <v>50.533807829181491</v>
      </c>
      <c r="J11" s="25"/>
    </row>
    <row r="12" spans="1:12" x14ac:dyDescent="0.2">
      <c r="A12" s="133" t="s">
        <v>15</v>
      </c>
      <c r="B12" s="132" t="s">
        <v>156</v>
      </c>
      <c r="C12" s="52" t="s">
        <v>173</v>
      </c>
      <c r="D12" s="52" t="s">
        <v>184</v>
      </c>
      <c r="E12" s="53" t="s">
        <v>185</v>
      </c>
      <c r="F12" s="52" t="s">
        <v>186</v>
      </c>
      <c r="G12" s="52" t="s">
        <v>245</v>
      </c>
      <c r="H12" s="53" t="s">
        <v>249</v>
      </c>
      <c r="I12" s="54" t="str">
        <f>I9</f>
        <v>R4</v>
      </c>
      <c r="J12" s="25"/>
    </row>
    <row r="13" spans="1:12" x14ac:dyDescent="0.2">
      <c r="A13" s="134" t="s">
        <v>35</v>
      </c>
      <c r="B13" s="137">
        <v>41.7</v>
      </c>
      <c r="C13" s="115">
        <v>41.391941391941394</v>
      </c>
      <c r="D13" s="115">
        <v>43.1</v>
      </c>
      <c r="E13" s="116">
        <v>48.6</v>
      </c>
      <c r="F13" s="115">
        <v>40</v>
      </c>
      <c r="G13" s="115">
        <v>46.6</v>
      </c>
      <c r="H13" s="116">
        <v>44.4</v>
      </c>
      <c r="I13" s="190">
        <f>C44+D44</f>
        <v>47.1875</v>
      </c>
      <c r="J13" s="25">
        <f t="shared" si="0"/>
        <v>-0.9375</v>
      </c>
    </row>
    <row r="14" spans="1:12" x14ac:dyDescent="0.2">
      <c r="A14" s="135" t="s">
        <v>36</v>
      </c>
      <c r="B14" s="138">
        <v>55.3</v>
      </c>
      <c r="C14" s="117">
        <v>57.875457875457876</v>
      </c>
      <c r="D14" s="117">
        <v>52.9</v>
      </c>
      <c r="E14" s="118">
        <v>48.5</v>
      </c>
      <c r="F14" s="117">
        <v>58</v>
      </c>
      <c r="G14" s="117">
        <v>50.8</v>
      </c>
      <c r="H14" s="118">
        <v>50.8</v>
      </c>
      <c r="I14" s="191">
        <f>E44+F44</f>
        <v>48.125</v>
      </c>
      <c r="J14" s="25"/>
      <c r="K14" s="7"/>
    </row>
    <row r="15" spans="1:12" x14ac:dyDescent="0.2">
      <c r="A15" s="133" t="s">
        <v>16</v>
      </c>
      <c r="B15" s="132" t="s">
        <v>156</v>
      </c>
      <c r="C15" s="52" t="s">
        <v>173</v>
      </c>
      <c r="D15" s="52" t="s">
        <v>184</v>
      </c>
      <c r="E15" s="53" t="s">
        <v>185</v>
      </c>
      <c r="F15" s="52" t="s">
        <v>186</v>
      </c>
      <c r="G15" s="52" t="s">
        <v>245</v>
      </c>
      <c r="H15" s="53" t="s">
        <v>249</v>
      </c>
      <c r="I15" s="54" t="str">
        <f>I12</f>
        <v>R4</v>
      </c>
      <c r="J15" s="25"/>
    </row>
    <row r="16" spans="1:12" x14ac:dyDescent="0.2">
      <c r="A16" s="134" t="s">
        <v>35</v>
      </c>
      <c r="B16" s="137">
        <v>42.3</v>
      </c>
      <c r="C16" s="115">
        <v>42.724458204334368</v>
      </c>
      <c r="D16" s="115">
        <v>46.2</v>
      </c>
      <c r="E16" s="116">
        <v>50</v>
      </c>
      <c r="F16" s="115">
        <v>48.2</v>
      </c>
      <c r="G16" s="115">
        <v>50.3</v>
      </c>
      <c r="H16" s="116">
        <v>54.711246200607903</v>
      </c>
      <c r="I16" s="190">
        <f>C46+D46</f>
        <v>50.56818181818182</v>
      </c>
      <c r="J16" s="25">
        <f t="shared" si="0"/>
        <v>5.1136363636363669</v>
      </c>
    </row>
    <row r="17" spans="1:19" x14ac:dyDescent="0.2">
      <c r="A17" s="135" t="s">
        <v>36</v>
      </c>
      <c r="B17" s="138">
        <v>53.4</v>
      </c>
      <c r="C17" s="117">
        <v>52.631578947368425</v>
      </c>
      <c r="D17" s="117">
        <v>48.400000000000006</v>
      </c>
      <c r="E17" s="118">
        <v>45.5</v>
      </c>
      <c r="F17" s="117">
        <v>47</v>
      </c>
      <c r="G17" s="117">
        <v>44.9</v>
      </c>
      <c r="H17" s="118">
        <v>38.905775075987847</v>
      </c>
      <c r="I17" s="191">
        <f>E46+F46</f>
        <v>45.454545454545453</v>
      </c>
      <c r="J17" s="25"/>
    </row>
    <row r="18" spans="1:19" x14ac:dyDescent="0.2">
      <c r="A18" s="133" t="s">
        <v>17</v>
      </c>
      <c r="B18" s="132" t="s">
        <v>156</v>
      </c>
      <c r="C18" s="52" t="s">
        <v>173</v>
      </c>
      <c r="D18" s="52" t="s">
        <v>184</v>
      </c>
      <c r="E18" s="53" t="s">
        <v>185</v>
      </c>
      <c r="F18" s="52" t="s">
        <v>186</v>
      </c>
      <c r="G18" s="52" t="s">
        <v>245</v>
      </c>
      <c r="H18" s="53" t="s">
        <v>249</v>
      </c>
      <c r="I18" s="54" t="str">
        <f>I15</f>
        <v>R4</v>
      </c>
      <c r="J18" s="25"/>
    </row>
    <row r="19" spans="1:19" x14ac:dyDescent="0.2">
      <c r="A19" s="134" t="s">
        <v>35</v>
      </c>
      <c r="B19" s="137">
        <v>42.4</v>
      </c>
      <c r="C19" s="115">
        <v>54.30463576158941</v>
      </c>
      <c r="D19" s="115">
        <v>60.4</v>
      </c>
      <c r="E19" s="116">
        <v>57.2</v>
      </c>
      <c r="F19" s="115">
        <v>54.6</v>
      </c>
      <c r="G19" s="115">
        <v>60.9</v>
      </c>
      <c r="H19" s="116">
        <v>61.780104712041883</v>
      </c>
      <c r="I19" s="190">
        <f>C48+D48</f>
        <v>53.650793650793652</v>
      </c>
      <c r="J19" s="25">
        <f t="shared" si="0"/>
        <v>21.250793650793653</v>
      </c>
    </row>
    <row r="20" spans="1:19" x14ac:dyDescent="0.2">
      <c r="A20" s="136" t="s">
        <v>36</v>
      </c>
      <c r="B20" s="139">
        <v>50</v>
      </c>
      <c r="C20" s="119">
        <v>42.715231788079478</v>
      </c>
      <c r="D20" s="119">
        <v>33</v>
      </c>
      <c r="E20" s="120">
        <v>36.4</v>
      </c>
      <c r="F20" s="119">
        <v>37.9</v>
      </c>
      <c r="G20" s="119">
        <v>30.3</v>
      </c>
      <c r="H20" s="120">
        <v>32.4</v>
      </c>
      <c r="I20" s="192">
        <v>32.4</v>
      </c>
      <c r="J20" s="25"/>
    </row>
    <row r="22" spans="1:19" x14ac:dyDescent="0.2">
      <c r="A22" s="3" t="s">
        <v>37</v>
      </c>
      <c r="B22" s="1" t="str">
        <f>B1</f>
        <v>くらしの満足度</v>
      </c>
      <c r="C22" s="8"/>
      <c r="D22" s="8"/>
      <c r="E22" s="8"/>
      <c r="F22" s="8"/>
      <c r="G22" s="9" t="s">
        <v>19</v>
      </c>
    </row>
    <row r="23" spans="1:19" ht="32.4" x14ac:dyDescent="0.2">
      <c r="A23" s="12" t="s">
        <v>20</v>
      </c>
      <c r="B23" s="59" t="s">
        <v>3</v>
      </c>
      <c r="C23" s="60" t="s">
        <v>38</v>
      </c>
      <c r="D23" s="61" t="s">
        <v>39</v>
      </c>
      <c r="E23" s="61" t="s">
        <v>40</v>
      </c>
      <c r="F23" s="61" t="s">
        <v>41</v>
      </c>
      <c r="G23" s="62" t="s">
        <v>23</v>
      </c>
      <c r="H23" s="63" t="s">
        <v>0</v>
      </c>
      <c r="I23" s="21" t="s">
        <v>32</v>
      </c>
      <c r="J23" s="12" t="str">
        <f>A23</f>
        <v>【性別】</v>
      </c>
      <c r="K23" s="60" t="str">
        <f t="shared" ref="K23:P23" si="1">C23</f>
        <v>十分満足している</v>
      </c>
      <c r="L23" s="61" t="str">
        <f t="shared" si="1"/>
        <v>おおむね満足している</v>
      </c>
      <c r="M23" s="62" t="str">
        <f t="shared" si="1"/>
        <v>まだまだ不満だ</v>
      </c>
      <c r="N23" s="61" t="str">
        <f t="shared" si="1"/>
        <v>きわめて不満だ</v>
      </c>
      <c r="O23" s="62" t="str">
        <f t="shared" si="1"/>
        <v>わからない</v>
      </c>
      <c r="P23" s="63" t="str">
        <f t="shared" si="1"/>
        <v>無回答</v>
      </c>
      <c r="Q23" s="46" t="s">
        <v>93</v>
      </c>
      <c r="R23" s="46" t="s">
        <v>94</v>
      </c>
      <c r="S23" s="43" t="s">
        <v>42</v>
      </c>
    </row>
    <row r="24" spans="1:19" ht="13.5" customHeight="1" x14ac:dyDescent="0.2">
      <c r="A24" s="275" t="str">
        <f>'問1S（表）'!A30</f>
        <v>全体(n = 1,616 )　　</v>
      </c>
      <c r="B24" s="34">
        <f>SUM(C24:H24)</f>
        <v>1616</v>
      </c>
      <c r="C24" s="31">
        <v>59</v>
      </c>
      <c r="D24" s="32">
        <v>734</v>
      </c>
      <c r="E24" s="32">
        <v>622</v>
      </c>
      <c r="F24" s="32">
        <v>130</v>
      </c>
      <c r="G24" s="32">
        <v>59</v>
      </c>
      <c r="H24" s="33">
        <v>12</v>
      </c>
      <c r="I24" s="200"/>
      <c r="J24" s="67" t="str">
        <f>A24</f>
        <v>全体(n = 1,616 )　　</v>
      </c>
      <c r="K24" s="70">
        <f t="shared" ref="K24" si="2">C25</f>
        <v>3.6509900990099009</v>
      </c>
      <c r="L24" s="71">
        <f t="shared" ref="L24" si="3">D25</f>
        <v>45.420792079207921</v>
      </c>
      <c r="M24" s="72">
        <f t="shared" ref="M24" si="4">E25</f>
        <v>38.490099009900987</v>
      </c>
      <c r="N24" s="71">
        <f t="shared" ref="N24" si="5">F25</f>
        <v>8.0445544554455441</v>
      </c>
      <c r="O24" s="72">
        <f t="shared" ref="O24" si="6">G25</f>
        <v>3.6509900990099009</v>
      </c>
      <c r="P24" s="73">
        <f t="shared" ref="P24" si="7">H25</f>
        <v>0.74257425742574257</v>
      </c>
      <c r="Q24" s="47">
        <f>K24+L24</f>
        <v>49.071782178217823</v>
      </c>
      <c r="R24" s="47">
        <f>M24+N24</f>
        <v>46.53465346534653</v>
      </c>
      <c r="S24" s="49">
        <f>Q24-R24</f>
        <v>2.5371287128712936</v>
      </c>
    </row>
    <row r="25" spans="1:19" ht="13.5" customHeight="1" x14ac:dyDescent="0.2">
      <c r="A25" s="276"/>
      <c r="B25" s="35">
        <v>100</v>
      </c>
      <c r="C25" s="20">
        <f>C24/$B24*100</f>
        <v>3.6509900990099009</v>
      </c>
      <c r="D25" s="207">
        <f t="shared" ref="D25:H25" si="8">D24/$B24*100</f>
        <v>45.420792079207921</v>
      </c>
      <c r="E25" s="207">
        <f t="shared" si="8"/>
        <v>38.490099009900987</v>
      </c>
      <c r="F25" s="207">
        <f t="shared" si="8"/>
        <v>8.0445544554455441</v>
      </c>
      <c r="G25" s="207">
        <f t="shared" si="8"/>
        <v>3.6509900990099009</v>
      </c>
      <c r="H25" s="208">
        <f t="shared" si="8"/>
        <v>0.74257425742574257</v>
      </c>
      <c r="I25" s="7"/>
      <c r="J25" s="68" t="str">
        <f>A26</f>
        <v>男性(n = 705 )　　</v>
      </c>
      <c r="K25" s="74">
        <f t="shared" ref="K25" si="9">C27</f>
        <v>4.5390070921985819</v>
      </c>
      <c r="L25" s="75">
        <f t="shared" ref="L25" si="10">D27</f>
        <v>43.829787234042556</v>
      </c>
      <c r="M25" s="76">
        <f t="shared" ref="M25" si="11">E27</f>
        <v>38.156028368794324</v>
      </c>
      <c r="N25" s="75">
        <f t="shared" ref="N25" si="12">F27</f>
        <v>10.212765957446807</v>
      </c>
      <c r="O25" s="76">
        <f t="shared" ref="O25" si="13">G27</f>
        <v>2.8368794326241136</v>
      </c>
      <c r="P25" s="77">
        <f t="shared" ref="P25" si="14">H27</f>
        <v>0.42553191489361702</v>
      </c>
      <c r="Q25" s="24">
        <f>K25+L25</f>
        <v>48.368794326241137</v>
      </c>
      <c r="R25" s="47">
        <f>M25+N25</f>
        <v>48.36879432624113</v>
      </c>
      <c r="S25" s="25">
        <f>Q25-R25</f>
        <v>0</v>
      </c>
    </row>
    <row r="26" spans="1:19" ht="13.5" customHeight="1" x14ac:dyDescent="0.2">
      <c r="A26" s="275" t="str">
        <f>'問1S（表）'!A32</f>
        <v>男性(n = 705 )　　</v>
      </c>
      <c r="B26" s="34">
        <f>'問1S（表）'!B32</f>
        <v>705</v>
      </c>
      <c r="C26" s="28">
        <v>32</v>
      </c>
      <c r="D26" s="29">
        <v>309</v>
      </c>
      <c r="E26" s="29">
        <v>269</v>
      </c>
      <c r="F26" s="29">
        <v>72</v>
      </c>
      <c r="G26" s="29">
        <v>20</v>
      </c>
      <c r="H26" s="30">
        <v>3</v>
      </c>
      <c r="J26" s="69" t="str">
        <f>A28</f>
        <v>女性(n = 901 )　　</v>
      </c>
      <c r="K26" s="78">
        <f t="shared" ref="K26" si="15">C29</f>
        <v>2.9966703662597114</v>
      </c>
      <c r="L26" s="79">
        <f t="shared" ref="L26" si="16">D29</f>
        <v>46.947835738068811</v>
      </c>
      <c r="M26" s="80">
        <f t="shared" ref="M26" si="17">E29</f>
        <v>38.73473917869034</v>
      </c>
      <c r="N26" s="79">
        <f t="shared" ref="N26" si="18">F29</f>
        <v>6.326304106548279</v>
      </c>
      <c r="O26" s="80">
        <f t="shared" ref="O26" si="19">G29</f>
        <v>4.1065482796892345</v>
      </c>
      <c r="P26" s="81">
        <f t="shared" ref="P26" si="20">H29</f>
        <v>0.88790233074361824</v>
      </c>
      <c r="Q26" s="24">
        <f>K26+L26</f>
        <v>49.944506104328525</v>
      </c>
      <c r="R26" s="47">
        <f>M26+N26</f>
        <v>45.061043285238618</v>
      </c>
      <c r="S26" s="25">
        <f>Q26-R26</f>
        <v>4.8834628190899068</v>
      </c>
    </row>
    <row r="27" spans="1:19" x14ac:dyDescent="0.2">
      <c r="A27" s="276"/>
      <c r="B27" s="20">
        <f>B26/$B$24*100</f>
        <v>43.626237623762378</v>
      </c>
      <c r="C27" s="20">
        <f t="shared" ref="C27:H27" si="21">C26/$B26*100</f>
        <v>4.5390070921985819</v>
      </c>
      <c r="D27" s="207">
        <f t="shared" si="21"/>
        <v>43.829787234042556</v>
      </c>
      <c r="E27" s="207">
        <f t="shared" si="21"/>
        <v>38.156028368794324</v>
      </c>
      <c r="F27" s="207">
        <f t="shared" si="21"/>
        <v>10.212765957446807</v>
      </c>
      <c r="G27" s="207">
        <f t="shared" si="21"/>
        <v>2.8368794326241136</v>
      </c>
      <c r="H27" s="208">
        <f t="shared" si="21"/>
        <v>0.42553191489361702</v>
      </c>
      <c r="S27" s="50"/>
    </row>
    <row r="28" spans="1:19" ht="13.5" customHeight="1" x14ac:dyDescent="0.2">
      <c r="A28" s="275" t="str">
        <f>'問1S（表）'!A34</f>
        <v>女性(n = 901 )　　</v>
      </c>
      <c r="B28" s="34">
        <f>'問1S（表）'!B34</f>
        <v>901</v>
      </c>
      <c r="C28" s="28">
        <v>27</v>
      </c>
      <c r="D28" s="29">
        <v>423</v>
      </c>
      <c r="E28" s="29">
        <v>349</v>
      </c>
      <c r="F28" s="29">
        <v>57</v>
      </c>
      <c r="G28" s="29">
        <v>37</v>
      </c>
      <c r="H28" s="30">
        <v>8</v>
      </c>
      <c r="S28" s="50"/>
    </row>
    <row r="29" spans="1:19" x14ac:dyDescent="0.2">
      <c r="A29" s="276"/>
      <c r="B29" s="20">
        <f>B28/$B$24*100</f>
        <v>55.754950495049506</v>
      </c>
      <c r="C29" s="20">
        <f t="shared" ref="C29:H29" si="22">C28/$B28*100</f>
        <v>2.9966703662597114</v>
      </c>
      <c r="D29" s="207">
        <f t="shared" si="22"/>
        <v>46.947835738068811</v>
      </c>
      <c r="E29" s="207">
        <f t="shared" si="22"/>
        <v>38.73473917869034</v>
      </c>
      <c r="F29" s="207">
        <f t="shared" si="22"/>
        <v>6.326304106548279</v>
      </c>
      <c r="G29" s="207">
        <f t="shared" si="22"/>
        <v>4.1065482796892345</v>
      </c>
      <c r="H29" s="208">
        <f t="shared" si="22"/>
        <v>0.88790233074361824</v>
      </c>
      <c r="S29" s="50"/>
    </row>
    <row r="30" spans="1:19" x14ac:dyDescent="0.2">
      <c r="C30">
        <v>1</v>
      </c>
      <c r="D30">
        <v>2</v>
      </c>
      <c r="E30">
        <v>3</v>
      </c>
      <c r="F30">
        <v>4</v>
      </c>
      <c r="G30">
        <v>5</v>
      </c>
      <c r="S30" s="50"/>
    </row>
    <row r="31" spans="1:19" x14ac:dyDescent="0.2">
      <c r="A31" s="3" t="s">
        <v>43</v>
      </c>
      <c r="B31" s="1" t="str">
        <f>B22</f>
        <v>くらしの満足度</v>
      </c>
      <c r="C31" s="8"/>
      <c r="D31" s="8"/>
      <c r="E31" s="8"/>
      <c r="F31" s="8"/>
      <c r="G31" s="9" t="s">
        <v>1</v>
      </c>
      <c r="H31" s="9"/>
      <c r="S31" s="50"/>
    </row>
    <row r="32" spans="1:19" ht="32.4" x14ac:dyDescent="0.2">
      <c r="A32" s="12" t="s">
        <v>25</v>
      </c>
      <c r="B32" s="59" t="str">
        <f>B23</f>
        <v>調査数</v>
      </c>
      <c r="C32" s="60" t="str">
        <f t="shared" ref="C32:G32" si="23">C23</f>
        <v>十分満足している</v>
      </c>
      <c r="D32" s="61" t="str">
        <f t="shared" si="23"/>
        <v>おおむね満足している</v>
      </c>
      <c r="E32" s="62" t="str">
        <f t="shared" si="23"/>
        <v>まだまだ不満だ</v>
      </c>
      <c r="F32" s="61" t="str">
        <f t="shared" si="23"/>
        <v>きわめて不満だ</v>
      </c>
      <c r="G32" s="62" t="str">
        <f t="shared" si="23"/>
        <v>わからない</v>
      </c>
      <c r="H32" s="63" t="s">
        <v>0</v>
      </c>
      <c r="I32" s="21" t="s">
        <v>32</v>
      </c>
      <c r="J32" s="12" t="str">
        <f>A32</f>
        <v>【年代別】</v>
      </c>
      <c r="K32" s="60" t="str">
        <f t="shared" ref="K32:P32" si="24">C32</f>
        <v>十分満足している</v>
      </c>
      <c r="L32" s="61" t="str">
        <f t="shared" si="24"/>
        <v>おおむね満足している</v>
      </c>
      <c r="M32" s="62" t="str">
        <f t="shared" si="24"/>
        <v>まだまだ不満だ</v>
      </c>
      <c r="N32" s="61" t="str">
        <f t="shared" si="24"/>
        <v>きわめて不満だ</v>
      </c>
      <c r="O32" s="62" t="str">
        <f t="shared" si="24"/>
        <v>わからない</v>
      </c>
      <c r="P32" s="63" t="str">
        <f t="shared" si="24"/>
        <v>無回答</v>
      </c>
      <c r="Q32" s="46" t="s">
        <v>93</v>
      </c>
      <c r="R32" s="46" t="s">
        <v>94</v>
      </c>
      <c r="S32" s="51" t="s">
        <v>42</v>
      </c>
    </row>
    <row r="33" spans="1:19" ht="13.5" customHeight="1" x14ac:dyDescent="0.2">
      <c r="A33" s="275" t="str">
        <f>'問1S（表）'!A39</f>
        <v>全体(n = 1,616 )　　</v>
      </c>
      <c r="B33" s="34">
        <f>SUM(C33:H33)</f>
        <v>1616</v>
      </c>
      <c r="C33" s="31">
        <f>$C$24</f>
        <v>59</v>
      </c>
      <c r="D33" s="32">
        <f>$D$24</f>
        <v>734</v>
      </c>
      <c r="E33" s="32">
        <f>$E$24</f>
        <v>622</v>
      </c>
      <c r="F33" s="32">
        <f>$F$24</f>
        <v>130</v>
      </c>
      <c r="G33" s="32">
        <f>$G$24</f>
        <v>59</v>
      </c>
      <c r="H33" s="33">
        <f>$H$24</f>
        <v>12</v>
      </c>
      <c r="J33" s="67" t="str">
        <f>A33</f>
        <v>全体(n = 1,616 )　　</v>
      </c>
      <c r="K33" s="70">
        <f t="shared" ref="K33:P33" si="25">C34</f>
        <v>3.6509900990099009</v>
      </c>
      <c r="L33" s="71">
        <f t="shared" si="25"/>
        <v>45.420792079207921</v>
      </c>
      <c r="M33" s="72">
        <f t="shared" si="25"/>
        <v>38.490099009900987</v>
      </c>
      <c r="N33" s="71">
        <f t="shared" si="25"/>
        <v>8.0445544554455441</v>
      </c>
      <c r="O33" s="72">
        <f t="shared" si="25"/>
        <v>3.6509900990099009</v>
      </c>
      <c r="P33" s="73">
        <f t="shared" si="25"/>
        <v>0.74257425742574257</v>
      </c>
      <c r="Q33" s="47">
        <f>K33+L33</f>
        <v>49.071782178217823</v>
      </c>
      <c r="R33" s="47">
        <f>M33+N33</f>
        <v>46.53465346534653</v>
      </c>
      <c r="S33" s="49">
        <f>Q33-R33</f>
        <v>2.5371287128712936</v>
      </c>
    </row>
    <row r="34" spans="1:19" ht="13.5" customHeight="1" x14ac:dyDescent="0.2">
      <c r="A34" s="276"/>
      <c r="B34" s="35"/>
      <c r="C34" s="20">
        <f t="shared" ref="C34:H34" si="26">C33/$B33*100</f>
        <v>3.6509900990099009</v>
      </c>
      <c r="D34" s="207">
        <f t="shared" si="26"/>
        <v>45.420792079207921</v>
      </c>
      <c r="E34" s="207">
        <f t="shared" si="26"/>
        <v>38.490099009900987</v>
      </c>
      <c r="F34" s="207">
        <f t="shared" si="26"/>
        <v>8.0445544554455441</v>
      </c>
      <c r="G34" s="207">
        <f t="shared" si="26"/>
        <v>3.6509900990099009</v>
      </c>
      <c r="H34" s="208">
        <f t="shared" si="26"/>
        <v>0.74257425742574257</v>
      </c>
      <c r="I34" s="188"/>
      <c r="J34" s="82" t="str">
        <f>A35</f>
        <v>18～19歳(n = 21 )　　</v>
      </c>
      <c r="K34" s="84">
        <f>C36</f>
        <v>14.285714285714285</v>
      </c>
      <c r="L34" s="85">
        <f t="shared" ref="L34:P34" si="27">D36</f>
        <v>57.142857142857139</v>
      </c>
      <c r="M34" s="86">
        <f t="shared" si="27"/>
        <v>28.571428571428569</v>
      </c>
      <c r="N34" s="85">
        <f t="shared" si="27"/>
        <v>0</v>
      </c>
      <c r="O34" s="86">
        <f t="shared" si="27"/>
        <v>0</v>
      </c>
      <c r="P34" s="87">
        <f t="shared" si="27"/>
        <v>0</v>
      </c>
      <c r="Q34" s="24">
        <f>K34+L34</f>
        <v>71.428571428571416</v>
      </c>
      <c r="R34" s="24">
        <f>M34+N34</f>
        <v>28.571428571428569</v>
      </c>
      <c r="S34" s="25">
        <f>Q34-R34</f>
        <v>42.857142857142847</v>
      </c>
    </row>
    <row r="35" spans="1:19" ht="13.5" customHeight="1" x14ac:dyDescent="0.2">
      <c r="A35" s="275" t="str">
        <f>'問1S（表）'!A41</f>
        <v>18～19歳(n = 21 )　　</v>
      </c>
      <c r="B35" s="34">
        <f>'問1S（表）'!B41</f>
        <v>21</v>
      </c>
      <c r="C35" s="28">
        <v>3</v>
      </c>
      <c r="D35" s="29">
        <v>12</v>
      </c>
      <c r="E35" s="29">
        <v>6</v>
      </c>
      <c r="F35" s="29">
        <v>0</v>
      </c>
      <c r="G35" s="29">
        <v>0</v>
      </c>
      <c r="H35" s="30">
        <v>0</v>
      </c>
      <c r="I35" s="188"/>
      <c r="J35" s="83" t="str">
        <f>A37</f>
        <v>20～29歳(n = 119 )　　</v>
      </c>
      <c r="K35" s="88">
        <f>C38</f>
        <v>10.084033613445378</v>
      </c>
      <c r="L35" s="89">
        <f t="shared" ref="L35:P35" si="28">D38</f>
        <v>45.378151260504204</v>
      </c>
      <c r="M35" s="90">
        <f t="shared" si="28"/>
        <v>37.815126050420169</v>
      </c>
      <c r="N35" s="89">
        <f t="shared" si="28"/>
        <v>5.8823529411764701</v>
      </c>
      <c r="O35" s="90">
        <f t="shared" si="28"/>
        <v>0.84033613445378152</v>
      </c>
      <c r="P35" s="91">
        <f t="shared" si="28"/>
        <v>0</v>
      </c>
      <c r="Q35" s="24">
        <f>K35+L35</f>
        <v>55.462184873949582</v>
      </c>
      <c r="R35" s="24">
        <f>M35+N35</f>
        <v>43.69747899159664</v>
      </c>
      <c r="S35" s="25">
        <f>Q35-R35</f>
        <v>11.764705882352942</v>
      </c>
    </row>
    <row r="36" spans="1:19" ht="13.5" customHeight="1" x14ac:dyDescent="0.2">
      <c r="A36" s="276"/>
      <c r="B36" s="20">
        <f>B35/$B$33*100</f>
        <v>1.2995049504950495</v>
      </c>
      <c r="C36" s="20">
        <f t="shared" ref="C36:H36" si="29">C35/$B35*100</f>
        <v>14.285714285714285</v>
      </c>
      <c r="D36" s="207">
        <f t="shared" si="29"/>
        <v>57.142857142857139</v>
      </c>
      <c r="E36" s="207">
        <f t="shared" si="29"/>
        <v>28.571428571428569</v>
      </c>
      <c r="F36" s="207">
        <f t="shared" si="29"/>
        <v>0</v>
      </c>
      <c r="G36" s="207">
        <f t="shared" si="29"/>
        <v>0</v>
      </c>
      <c r="H36" s="208">
        <f t="shared" si="29"/>
        <v>0</v>
      </c>
      <c r="I36" s="188"/>
      <c r="J36" s="83" t="str">
        <f>A39</f>
        <v>30～39歳(n = 196 )　　</v>
      </c>
      <c r="K36" s="88">
        <f>C40</f>
        <v>2.0408163265306123</v>
      </c>
      <c r="L36" s="89">
        <f t="shared" ref="L36:P36" si="30">D40</f>
        <v>39.285714285714285</v>
      </c>
      <c r="M36" s="90">
        <f t="shared" si="30"/>
        <v>48.469387755102041</v>
      </c>
      <c r="N36" s="89">
        <f t="shared" si="30"/>
        <v>6.6326530612244898</v>
      </c>
      <c r="O36" s="90">
        <f t="shared" si="30"/>
        <v>3.5714285714285712</v>
      </c>
      <c r="P36" s="91">
        <f t="shared" si="30"/>
        <v>0</v>
      </c>
      <c r="Q36" s="24">
        <f>K36+L36</f>
        <v>41.326530612244895</v>
      </c>
      <c r="R36" s="24">
        <f>M36+N36</f>
        <v>55.102040816326529</v>
      </c>
      <c r="S36" s="25">
        <f>Q36-R36</f>
        <v>-13.775510204081634</v>
      </c>
    </row>
    <row r="37" spans="1:19" ht="13.5" customHeight="1" x14ac:dyDescent="0.2">
      <c r="A37" s="275" t="str">
        <f>'問1S（表）'!A43</f>
        <v>20～29歳(n = 119 )　　</v>
      </c>
      <c r="B37" s="34">
        <f>'問1S（表）'!B43</f>
        <v>119</v>
      </c>
      <c r="C37" s="28">
        <v>12</v>
      </c>
      <c r="D37" s="29">
        <v>54</v>
      </c>
      <c r="E37" s="29">
        <v>45</v>
      </c>
      <c r="F37" s="29">
        <v>7</v>
      </c>
      <c r="G37" s="29">
        <v>1</v>
      </c>
      <c r="H37" s="30">
        <v>0</v>
      </c>
      <c r="I37" s="188"/>
      <c r="J37" s="83" t="str">
        <f>A41</f>
        <v>40～49歳(n = 281 )　　</v>
      </c>
      <c r="K37" s="88">
        <f>C42</f>
        <v>3.2028469750889679</v>
      </c>
      <c r="L37" s="89">
        <f t="shared" ref="L37" si="31">D42</f>
        <v>43.060498220640568</v>
      </c>
      <c r="M37" s="90">
        <f t="shared" ref="M37" si="32">E42</f>
        <v>40.92526690391459</v>
      </c>
      <c r="N37" s="89">
        <f t="shared" ref="N37" si="33">F42</f>
        <v>9.6085409252669027</v>
      </c>
      <c r="O37" s="90">
        <f t="shared" ref="O37" si="34">G42</f>
        <v>2.8469750889679712</v>
      </c>
      <c r="P37" s="91">
        <f t="shared" ref="P37" si="35">H42</f>
        <v>0.35587188612099641</v>
      </c>
      <c r="Q37" s="24">
        <f t="shared" ref="Q37:Q39" si="36">K37+L37</f>
        <v>46.263345195729535</v>
      </c>
      <c r="R37" s="24">
        <f t="shared" ref="R37:R40" si="37">M37+N37</f>
        <v>50.533807829181491</v>
      </c>
      <c r="S37" s="25">
        <f t="shared" ref="S37:S40" si="38">Q37-R37</f>
        <v>-4.270462633451956</v>
      </c>
    </row>
    <row r="38" spans="1:19" ht="13.5" customHeight="1" x14ac:dyDescent="0.2">
      <c r="A38" s="276"/>
      <c r="B38" s="20">
        <f>B37/$B$33*100</f>
        <v>7.3638613861386135</v>
      </c>
      <c r="C38" s="20">
        <f t="shared" ref="C38:H38" si="39">C37/$B37*100</f>
        <v>10.084033613445378</v>
      </c>
      <c r="D38" s="207">
        <f t="shared" si="39"/>
        <v>45.378151260504204</v>
      </c>
      <c r="E38" s="207">
        <f t="shared" si="39"/>
        <v>37.815126050420169</v>
      </c>
      <c r="F38" s="207">
        <f t="shared" si="39"/>
        <v>5.8823529411764701</v>
      </c>
      <c r="G38" s="207">
        <f t="shared" si="39"/>
        <v>0.84033613445378152</v>
      </c>
      <c r="H38" s="208">
        <f t="shared" si="39"/>
        <v>0</v>
      </c>
      <c r="I38" s="188"/>
      <c r="J38" s="83" t="str">
        <f>A43</f>
        <v>50～59歳(n = 320 )　　</v>
      </c>
      <c r="K38" s="88">
        <f>C44</f>
        <v>3.125</v>
      </c>
      <c r="L38" s="89">
        <f t="shared" ref="L38" si="40">D44</f>
        <v>44.0625</v>
      </c>
      <c r="M38" s="90">
        <f t="shared" ref="M38" si="41">E44</f>
        <v>41.5625</v>
      </c>
      <c r="N38" s="89">
        <f t="shared" ref="N38" si="42">F44</f>
        <v>6.5625</v>
      </c>
      <c r="O38" s="90">
        <f t="shared" ref="O38" si="43">G44</f>
        <v>3.75</v>
      </c>
      <c r="P38" s="91">
        <f t="shared" ref="P38" si="44">H44</f>
        <v>0.9375</v>
      </c>
      <c r="Q38" s="24">
        <f t="shared" si="36"/>
        <v>47.1875</v>
      </c>
      <c r="R38" s="24">
        <f t="shared" si="37"/>
        <v>48.125</v>
      </c>
      <c r="S38" s="25">
        <f t="shared" si="38"/>
        <v>-0.9375</v>
      </c>
    </row>
    <row r="39" spans="1:19" ht="13.5" customHeight="1" x14ac:dyDescent="0.2">
      <c r="A39" s="275" t="str">
        <f>'問1S（表）'!A45</f>
        <v>30～39歳(n = 196 )　　</v>
      </c>
      <c r="B39" s="34">
        <f>'問1S（表）'!B45</f>
        <v>196</v>
      </c>
      <c r="C39" s="28">
        <v>4</v>
      </c>
      <c r="D39" s="29">
        <v>77</v>
      </c>
      <c r="E39" s="29">
        <v>95</v>
      </c>
      <c r="F39" s="29">
        <v>13</v>
      </c>
      <c r="G39" s="29">
        <v>7</v>
      </c>
      <c r="H39" s="30">
        <v>0</v>
      </c>
      <c r="I39" s="188"/>
      <c r="J39" s="83" t="str">
        <f>A45</f>
        <v>60～69歳(n = 352 )　　</v>
      </c>
      <c r="K39" s="88">
        <f>C46</f>
        <v>3.125</v>
      </c>
      <c r="L39" s="89">
        <f t="shared" ref="L39" si="45">D46</f>
        <v>47.44318181818182</v>
      </c>
      <c r="M39" s="90">
        <f t="shared" ref="M39" si="46">E46</f>
        <v>35.795454545454547</v>
      </c>
      <c r="N39" s="89">
        <f t="shared" ref="N39" si="47">F46</f>
        <v>9.6590909090909083</v>
      </c>
      <c r="O39" s="90">
        <f t="shared" ref="O39" si="48">G46</f>
        <v>3.4090909090909087</v>
      </c>
      <c r="P39" s="91">
        <f t="shared" ref="P39" si="49">H46</f>
        <v>0.56818181818181823</v>
      </c>
      <c r="Q39" s="24">
        <f t="shared" si="36"/>
        <v>50.56818181818182</v>
      </c>
      <c r="R39" s="24">
        <f t="shared" si="37"/>
        <v>45.454545454545453</v>
      </c>
      <c r="S39" s="25">
        <f t="shared" si="38"/>
        <v>5.1136363636363669</v>
      </c>
    </row>
    <row r="40" spans="1:19" ht="13.5" customHeight="1" x14ac:dyDescent="0.2">
      <c r="A40" s="276"/>
      <c r="B40" s="20">
        <f>B39/$B$33*100</f>
        <v>12.128712871287128</v>
      </c>
      <c r="C40" s="20">
        <f t="shared" ref="C40:H40" si="50">C39/$B39*100</f>
        <v>2.0408163265306123</v>
      </c>
      <c r="D40" s="207">
        <f t="shared" si="50"/>
        <v>39.285714285714285</v>
      </c>
      <c r="E40" s="207">
        <f t="shared" si="50"/>
        <v>48.469387755102041</v>
      </c>
      <c r="F40" s="207">
        <f t="shared" si="50"/>
        <v>6.6326530612244898</v>
      </c>
      <c r="G40" s="207">
        <f t="shared" si="50"/>
        <v>3.5714285714285712</v>
      </c>
      <c r="H40" s="208">
        <f t="shared" si="50"/>
        <v>0</v>
      </c>
      <c r="I40" s="188"/>
      <c r="J40" s="69" t="str">
        <f>A47</f>
        <v>70歳以上(n = 315 )　　</v>
      </c>
      <c r="K40" s="78">
        <f>C48</f>
        <v>3.1746031746031744</v>
      </c>
      <c r="L40" s="79">
        <f t="shared" ref="L40" si="51">D48</f>
        <v>50.476190476190474</v>
      </c>
      <c r="M40" s="80">
        <f t="shared" ref="M40" si="52">E48</f>
        <v>30.476190476190478</v>
      </c>
      <c r="N40" s="79">
        <f t="shared" ref="N40" si="53">F48</f>
        <v>8.5714285714285712</v>
      </c>
      <c r="O40" s="80">
        <f t="shared" ref="O40" si="54">G48</f>
        <v>5.3968253968253972</v>
      </c>
      <c r="P40" s="81">
        <f t="shared" ref="P40" si="55">H48</f>
        <v>1.9047619047619049</v>
      </c>
      <c r="Q40" s="24">
        <f>K40+L40</f>
        <v>53.650793650793652</v>
      </c>
      <c r="R40" s="24">
        <f t="shared" si="37"/>
        <v>39.047619047619051</v>
      </c>
      <c r="S40" s="25">
        <f t="shared" si="38"/>
        <v>14.603174603174601</v>
      </c>
    </row>
    <row r="41" spans="1:19" x14ac:dyDescent="0.2">
      <c r="A41" s="275" t="str">
        <f>'問1S（表）'!A47</f>
        <v>40～49歳(n = 281 )　　</v>
      </c>
      <c r="B41" s="34">
        <f>'問1S（表）'!B47</f>
        <v>281</v>
      </c>
      <c r="C41" s="28">
        <v>9</v>
      </c>
      <c r="D41" s="29">
        <v>121</v>
      </c>
      <c r="E41" s="29">
        <v>115</v>
      </c>
      <c r="F41" s="29">
        <v>27</v>
      </c>
      <c r="G41" s="29">
        <v>8</v>
      </c>
      <c r="H41" s="30">
        <v>1</v>
      </c>
      <c r="I41" s="188"/>
      <c r="Q41" s="24"/>
      <c r="R41" s="24"/>
      <c r="S41" s="25"/>
    </row>
    <row r="42" spans="1:19" x14ac:dyDescent="0.2">
      <c r="A42" s="276"/>
      <c r="B42" s="20">
        <f>B41/$B$33*100</f>
        <v>17.388613861386137</v>
      </c>
      <c r="C42" s="20">
        <f t="shared" ref="C42:H42" si="56">C41/$B41*100</f>
        <v>3.2028469750889679</v>
      </c>
      <c r="D42" s="207">
        <f t="shared" si="56"/>
        <v>43.060498220640568</v>
      </c>
      <c r="E42" s="207">
        <f t="shared" si="56"/>
        <v>40.92526690391459</v>
      </c>
      <c r="F42" s="207">
        <f t="shared" si="56"/>
        <v>9.6085409252669027</v>
      </c>
      <c r="G42" s="207">
        <f t="shared" si="56"/>
        <v>2.8469750889679712</v>
      </c>
      <c r="H42" s="208">
        <f t="shared" si="56"/>
        <v>0.35587188612099641</v>
      </c>
      <c r="I42" s="188"/>
      <c r="S42" s="50"/>
    </row>
    <row r="43" spans="1:19" x14ac:dyDescent="0.2">
      <c r="A43" s="275" t="str">
        <f>'問1S（表）'!A49</f>
        <v>50～59歳(n = 320 )　　</v>
      </c>
      <c r="B43" s="34">
        <f>'問1S（表）'!B49</f>
        <v>320</v>
      </c>
      <c r="C43" s="28">
        <v>10</v>
      </c>
      <c r="D43" s="29">
        <v>141</v>
      </c>
      <c r="E43" s="29">
        <v>133</v>
      </c>
      <c r="F43" s="29">
        <v>21</v>
      </c>
      <c r="G43" s="29">
        <v>12</v>
      </c>
      <c r="H43" s="30">
        <v>3</v>
      </c>
      <c r="I43" s="188"/>
      <c r="S43" s="50"/>
    </row>
    <row r="44" spans="1:19" x14ac:dyDescent="0.2">
      <c r="A44" s="276"/>
      <c r="B44" s="20">
        <f>B43/$B$33*100</f>
        <v>19.801980198019802</v>
      </c>
      <c r="C44" s="20">
        <f t="shared" ref="C44:H44" si="57">C43/$B43*100</f>
        <v>3.125</v>
      </c>
      <c r="D44" s="207">
        <f t="shared" si="57"/>
        <v>44.0625</v>
      </c>
      <c r="E44" s="207">
        <f t="shared" si="57"/>
        <v>41.5625</v>
      </c>
      <c r="F44" s="207">
        <f t="shared" si="57"/>
        <v>6.5625</v>
      </c>
      <c r="G44" s="207">
        <f t="shared" si="57"/>
        <v>3.75</v>
      </c>
      <c r="H44" s="208">
        <f t="shared" si="57"/>
        <v>0.9375</v>
      </c>
      <c r="I44" s="188"/>
      <c r="S44" s="50"/>
    </row>
    <row r="45" spans="1:19" x14ac:dyDescent="0.2">
      <c r="A45" s="275" t="str">
        <f>'問1S（表）'!A51</f>
        <v>60～69歳(n = 352 )　　</v>
      </c>
      <c r="B45" s="34">
        <f>'問1S（表）'!B51</f>
        <v>352</v>
      </c>
      <c r="C45" s="28">
        <v>11</v>
      </c>
      <c r="D45" s="29">
        <v>167</v>
      </c>
      <c r="E45" s="29">
        <v>126</v>
      </c>
      <c r="F45" s="29">
        <v>34</v>
      </c>
      <c r="G45" s="29">
        <v>12</v>
      </c>
      <c r="H45" s="30">
        <v>2</v>
      </c>
      <c r="I45" s="188"/>
      <c r="S45" s="50"/>
    </row>
    <row r="46" spans="1:19" x14ac:dyDescent="0.2">
      <c r="A46" s="276"/>
      <c r="B46" s="20">
        <f>B45/$B$33*100</f>
        <v>21.782178217821784</v>
      </c>
      <c r="C46" s="20">
        <f t="shared" ref="C46:H46" si="58">C45/$B45*100</f>
        <v>3.125</v>
      </c>
      <c r="D46" s="207">
        <f t="shared" si="58"/>
        <v>47.44318181818182</v>
      </c>
      <c r="E46" s="207">
        <f t="shared" si="58"/>
        <v>35.795454545454547</v>
      </c>
      <c r="F46" s="207">
        <f t="shared" si="58"/>
        <v>9.6590909090909083</v>
      </c>
      <c r="G46" s="207">
        <f t="shared" si="58"/>
        <v>3.4090909090909087</v>
      </c>
      <c r="H46" s="208">
        <f t="shared" si="58"/>
        <v>0.56818181818181823</v>
      </c>
      <c r="I46" s="188"/>
      <c r="S46" s="50"/>
    </row>
    <row r="47" spans="1:19" x14ac:dyDescent="0.2">
      <c r="A47" s="275" t="str">
        <f>'問1S（表）'!A53</f>
        <v>70歳以上(n = 315 )　　</v>
      </c>
      <c r="B47" s="34">
        <f>'問1S（表）'!B53</f>
        <v>315</v>
      </c>
      <c r="C47" s="28">
        <v>10</v>
      </c>
      <c r="D47" s="29">
        <v>159</v>
      </c>
      <c r="E47" s="29">
        <v>96</v>
      </c>
      <c r="F47" s="29">
        <v>27</v>
      </c>
      <c r="G47" s="29">
        <v>17</v>
      </c>
      <c r="H47" s="30">
        <v>6</v>
      </c>
      <c r="I47" s="188"/>
      <c r="S47" s="50"/>
    </row>
    <row r="48" spans="1:19" x14ac:dyDescent="0.2">
      <c r="A48" s="276"/>
      <c r="B48" s="20">
        <f>B47/$B$33*100</f>
        <v>19.492574257425744</v>
      </c>
      <c r="C48" s="20">
        <f t="shared" ref="C48:H48" si="59">C47/$B47*100</f>
        <v>3.1746031746031744</v>
      </c>
      <c r="D48" s="207">
        <f t="shared" si="59"/>
        <v>50.476190476190474</v>
      </c>
      <c r="E48" s="207">
        <f t="shared" si="59"/>
        <v>30.476190476190478</v>
      </c>
      <c r="F48" s="207">
        <f t="shared" si="59"/>
        <v>8.5714285714285712</v>
      </c>
      <c r="G48" s="207">
        <f t="shared" si="59"/>
        <v>5.3968253968253972</v>
      </c>
      <c r="H48" s="208">
        <f t="shared" si="59"/>
        <v>1.9047619047619049</v>
      </c>
      <c r="I48" s="188"/>
      <c r="S48" s="50"/>
    </row>
    <row r="49" spans="1:19" x14ac:dyDescent="0.2">
      <c r="S49" s="50"/>
    </row>
    <row r="50" spans="1:19" ht="13.5" customHeight="1" x14ac:dyDescent="0.2">
      <c r="A50" s="3" t="s">
        <v>44</v>
      </c>
      <c r="B50" s="1" t="str">
        <f>B31</f>
        <v>くらしの満足度</v>
      </c>
      <c r="C50" s="8"/>
      <c r="D50" s="8"/>
      <c r="E50" s="8"/>
      <c r="F50" s="8"/>
      <c r="G50" s="9" t="s">
        <v>19</v>
      </c>
      <c r="H50" s="9"/>
      <c r="S50" s="50"/>
    </row>
    <row r="51" spans="1:19" ht="22.5" customHeight="1" x14ac:dyDescent="0.2">
      <c r="A51" s="13" t="s">
        <v>27</v>
      </c>
      <c r="B51" s="59" t="str">
        <f>B32</f>
        <v>調査数</v>
      </c>
      <c r="C51" s="60" t="str">
        <f t="shared" ref="C51:H51" si="60">C32</f>
        <v>十分満足している</v>
      </c>
      <c r="D51" s="61" t="str">
        <f t="shared" si="60"/>
        <v>おおむね満足している</v>
      </c>
      <c r="E51" s="62" t="str">
        <f t="shared" si="60"/>
        <v>まだまだ不満だ</v>
      </c>
      <c r="F51" s="61" t="str">
        <f t="shared" si="60"/>
        <v>きわめて不満だ</v>
      </c>
      <c r="G51" s="62" t="str">
        <f t="shared" si="60"/>
        <v>わからない</v>
      </c>
      <c r="H51" s="63" t="str">
        <f t="shared" si="60"/>
        <v>無回答</v>
      </c>
      <c r="I51" s="21" t="s">
        <v>32</v>
      </c>
      <c r="J51" s="12" t="str">
        <f>A51</f>
        <v>【居住圏域別】</v>
      </c>
      <c r="K51" s="60" t="str">
        <f t="shared" ref="K51:P51" si="61">C51</f>
        <v>十分満足している</v>
      </c>
      <c r="L51" s="61" t="str">
        <f t="shared" si="61"/>
        <v>おおむね満足している</v>
      </c>
      <c r="M51" s="62" t="str">
        <f t="shared" si="61"/>
        <v>まだまだ不満だ</v>
      </c>
      <c r="N51" s="61" t="str">
        <f t="shared" si="61"/>
        <v>きわめて不満だ</v>
      </c>
      <c r="O51" s="62" t="str">
        <f t="shared" si="61"/>
        <v>わからない</v>
      </c>
      <c r="P51" s="63" t="str">
        <f t="shared" si="61"/>
        <v>無回答</v>
      </c>
      <c r="Q51" s="46" t="s">
        <v>93</v>
      </c>
      <c r="R51" s="46" t="s">
        <v>94</v>
      </c>
      <c r="S51" s="51" t="s">
        <v>42</v>
      </c>
    </row>
    <row r="52" spans="1:19" ht="13.5" customHeight="1" x14ac:dyDescent="0.2">
      <c r="A52" s="275" t="str">
        <f>'問1S（表）'!A62</f>
        <v>全体(n = 1,616 )　　</v>
      </c>
      <c r="B52" s="34">
        <f>SUM(C52:H52)</f>
        <v>1616</v>
      </c>
      <c r="C52" s="31">
        <f>$C$24</f>
        <v>59</v>
      </c>
      <c r="D52" s="32">
        <f>$D$24</f>
        <v>734</v>
      </c>
      <c r="E52" s="32">
        <f>$E$24</f>
        <v>622</v>
      </c>
      <c r="F52" s="32">
        <f>$F$24</f>
        <v>130</v>
      </c>
      <c r="G52" s="32">
        <f>$G$24</f>
        <v>59</v>
      </c>
      <c r="H52" s="33">
        <f>$H$24</f>
        <v>12</v>
      </c>
      <c r="J52" s="67" t="str">
        <f>A52</f>
        <v>全体(n = 1,616 )　　</v>
      </c>
      <c r="K52" s="70">
        <f t="shared" ref="K52:P52" si="62">C53</f>
        <v>3.6509900990099009</v>
      </c>
      <c r="L52" s="71">
        <f t="shared" si="62"/>
        <v>45.420792079207921</v>
      </c>
      <c r="M52" s="72">
        <f t="shared" si="62"/>
        <v>38.490099009900987</v>
      </c>
      <c r="N52" s="71">
        <f t="shared" si="62"/>
        <v>8.0445544554455441</v>
      </c>
      <c r="O52" s="72">
        <f t="shared" si="62"/>
        <v>3.6509900990099009</v>
      </c>
      <c r="P52" s="73">
        <f t="shared" si="62"/>
        <v>0.74257425742574257</v>
      </c>
      <c r="Q52" s="47">
        <f>K52+L52</f>
        <v>49.071782178217823</v>
      </c>
      <c r="R52" s="47">
        <f>M52+N52</f>
        <v>46.53465346534653</v>
      </c>
      <c r="S52" s="49">
        <f>Q52-R52</f>
        <v>2.5371287128712936</v>
      </c>
    </row>
    <row r="53" spans="1:19" ht="13.5" customHeight="1" x14ac:dyDescent="0.2">
      <c r="A53" s="276"/>
      <c r="B53" s="35"/>
      <c r="C53" s="20">
        <f t="shared" ref="C53" si="63">C52/$B52*100</f>
        <v>3.6509900990099009</v>
      </c>
      <c r="D53" s="207">
        <f t="shared" ref="D53" si="64">D52/$B52*100</f>
        <v>45.420792079207921</v>
      </c>
      <c r="E53" s="207">
        <f t="shared" ref="E53" si="65">E52/$B52*100</f>
        <v>38.490099009900987</v>
      </c>
      <c r="F53" s="207">
        <f t="shared" ref="F53" si="66">F52/$B52*100</f>
        <v>8.0445544554455441</v>
      </c>
      <c r="G53" s="207">
        <f t="shared" ref="G53" si="67">G52/$B52*100</f>
        <v>3.6509900990099009</v>
      </c>
      <c r="H53" s="208">
        <f t="shared" ref="H53" si="68">H52/$B52*100</f>
        <v>0.74257425742574257</v>
      </c>
      <c r="J53" s="82" t="str">
        <f>A54</f>
        <v>岐阜圏域(n = 617 )　　</v>
      </c>
      <c r="K53" s="84">
        <f t="shared" ref="K53:P53" si="69">C55</f>
        <v>3.5656401944894651</v>
      </c>
      <c r="L53" s="85">
        <f t="shared" si="69"/>
        <v>45.705024311183145</v>
      </c>
      <c r="M53" s="86">
        <f t="shared" si="69"/>
        <v>37.925445705024316</v>
      </c>
      <c r="N53" s="85">
        <f t="shared" si="69"/>
        <v>7.7795786061588341</v>
      </c>
      <c r="O53" s="86">
        <f t="shared" si="69"/>
        <v>4.5380875202593192</v>
      </c>
      <c r="P53" s="87">
        <f t="shared" si="69"/>
        <v>0.48622366288492713</v>
      </c>
      <c r="Q53" s="24">
        <f t="shared" ref="Q53:Q57" si="70">K53+L53</f>
        <v>49.270664505672613</v>
      </c>
      <c r="R53" s="24">
        <f t="shared" ref="R53:R57" si="71">M53+N53</f>
        <v>45.705024311183152</v>
      </c>
      <c r="S53" s="25">
        <f>Q53-R53</f>
        <v>3.5656401944894611</v>
      </c>
    </row>
    <row r="54" spans="1:19" ht="13.5" customHeight="1" x14ac:dyDescent="0.2">
      <c r="A54" s="275" t="str">
        <f>'問1S（表）'!A64</f>
        <v>岐阜圏域(n = 617 )　　</v>
      </c>
      <c r="B54" s="34">
        <f>'問1S（表）'!B64</f>
        <v>617</v>
      </c>
      <c r="C54" s="28">
        <v>22</v>
      </c>
      <c r="D54" s="29">
        <v>282</v>
      </c>
      <c r="E54" s="29">
        <v>234</v>
      </c>
      <c r="F54" s="29">
        <v>48</v>
      </c>
      <c r="G54" s="29">
        <v>28</v>
      </c>
      <c r="H54" s="30">
        <v>3</v>
      </c>
      <c r="I54" s="170">
        <v>1</v>
      </c>
      <c r="J54" s="83" t="str">
        <f>A56</f>
        <v>西濃圏域(n = 290 )　　</v>
      </c>
      <c r="K54" s="88">
        <f t="shared" ref="K54:P54" si="72">C57</f>
        <v>2.4137931034482758</v>
      </c>
      <c r="L54" s="89">
        <f t="shared" si="72"/>
        <v>48.275862068965516</v>
      </c>
      <c r="M54" s="90">
        <f t="shared" si="72"/>
        <v>36.551724137931032</v>
      </c>
      <c r="N54" s="89">
        <f t="shared" si="72"/>
        <v>8.2758620689655178</v>
      </c>
      <c r="O54" s="90">
        <f t="shared" si="72"/>
        <v>3.4482758620689653</v>
      </c>
      <c r="P54" s="91">
        <f t="shared" si="72"/>
        <v>1.0344827586206897</v>
      </c>
      <c r="Q54" s="24">
        <f t="shared" si="70"/>
        <v>50.689655172413794</v>
      </c>
      <c r="R54" s="24">
        <f t="shared" si="71"/>
        <v>44.827586206896548</v>
      </c>
      <c r="S54" s="25">
        <f>Q54-R54</f>
        <v>5.8620689655172455</v>
      </c>
    </row>
    <row r="55" spans="1:19" ht="13.5" customHeight="1" x14ac:dyDescent="0.2">
      <c r="A55" s="276"/>
      <c r="B55" s="20">
        <f>B54/$B$52*100</f>
        <v>38.180693069306933</v>
      </c>
      <c r="C55" s="20">
        <f t="shared" ref="C55:H55" si="73">C54/$B54*100</f>
        <v>3.5656401944894651</v>
      </c>
      <c r="D55" s="207">
        <f t="shared" si="73"/>
        <v>45.705024311183145</v>
      </c>
      <c r="E55" s="207">
        <f t="shared" si="73"/>
        <v>37.925445705024316</v>
      </c>
      <c r="F55" s="207">
        <f t="shared" si="73"/>
        <v>7.7795786061588341</v>
      </c>
      <c r="G55" s="207">
        <f t="shared" si="73"/>
        <v>4.5380875202593192</v>
      </c>
      <c r="H55" s="208">
        <f t="shared" si="73"/>
        <v>0.48622366288492713</v>
      </c>
      <c r="I55" s="2"/>
      <c r="J55" s="83" t="str">
        <f>A58</f>
        <v>中濃圏域(n = 300 )　　</v>
      </c>
      <c r="K55" s="88">
        <f t="shared" ref="K55:P55" si="74">C59</f>
        <v>2.666666666666667</v>
      </c>
      <c r="L55" s="89">
        <f t="shared" si="74"/>
        <v>42.333333333333336</v>
      </c>
      <c r="M55" s="90">
        <f t="shared" si="74"/>
        <v>41</v>
      </c>
      <c r="N55" s="89">
        <f t="shared" si="74"/>
        <v>9</v>
      </c>
      <c r="O55" s="90">
        <f t="shared" si="74"/>
        <v>4.3333333333333339</v>
      </c>
      <c r="P55" s="91">
        <f t="shared" si="74"/>
        <v>0.66666666666666674</v>
      </c>
      <c r="Q55" s="24">
        <f t="shared" si="70"/>
        <v>45</v>
      </c>
      <c r="R55" s="24">
        <f t="shared" si="71"/>
        <v>50</v>
      </c>
      <c r="S55" s="25">
        <f t="shared" ref="S55:S57" si="75">Q55-R55</f>
        <v>-5</v>
      </c>
    </row>
    <row r="56" spans="1:19" ht="13.5" customHeight="1" x14ac:dyDescent="0.2">
      <c r="A56" s="275" t="str">
        <f>'問1S（表）'!A66</f>
        <v>西濃圏域(n = 290 )　　</v>
      </c>
      <c r="B56" s="34">
        <f>'問1S（表）'!B66</f>
        <v>290</v>
      </c>
      <c r="C56" s="28">
        <v>7</v>
      </c>
      <c r="D56" s="29">
        <v>140</v>
      </c>
      <c r="E56" s="29">
        <v>106</v>
      </c>
      <c r="F56" s="29">
        <v>24</v>
      </c>
      <c r="G56" s="29">
        <v>10</v>
      </c>
      <c r="H56" s="30">
        <v>3</v>
      </c>
      <c r="I56" s="170">
        <v>2</v>
      </c>
      <c r="J56" s="83" t="str">
        <f>A60</f>
        <v>東濃圏域(n = 271 )　　</v>
      </c>
      <c r="K56" s="88">
        <f t="shared" ref="K56:P56" si="76">C61</f>
        <v>4.428044280442804</v>
      </c>
      <c r="L56" s="89">
        <f t="shared" si="76"/>
        <v>46.125461254612546</v>
      </c>
      <c r="M56" s="90">
        <f t="shared" si="76"/>
        <v>39.483394833948338</v>
      </c>
      <c r="N56" s="89">
        <f t="shared" si="76"/>
        <v>7.3800738007380069</v>
      </c>
      <c r="O56" s="90">
        <f t="shared" si="76"/>
        <v>1.8450184501845017</v>
      </c>
      <c r="P56" s="91">
        <f t="shared" si="76"/>
        <v>0.73800738007380073</v>
      </c>
      <c r="Q56" s="24">
        <f t="shared" si="70"/>
        <v>50.553505535055351</v>
      </c>
      <c r="R56" s="24">
        <f t="shared" si="71"/>
        <v>46.863468634686342</v>
      </c>
      <c r="S56" s="25">
        <f t="shared" si="75"/>
        <v>3.6900369003690088</v>
      </c>
    </row>
    <row r="57" spans="1:19" ht="13.5" customHeight="1" x14ac:dyDescent="0.2">
      <c r="A57" s="276"/>
      <c r="B57" s="20">
        <f>B56/$B$52*100</f>
        <v>17.945544554455445</v>
      </c>
      <c r="C57" s="20">
        <f t="shared" ref="C57:H57" si="77">C56/$B56*100</f>
        <v>2.4137931034482758</v>
      </c>
      <c r="D57" s="207">
        <f t="shared" si="77"/>
        <v>48.275862068965516</v>
      </c>
      <c r="E57" s="207">
        <f t="shared" si="77"/>
        <v>36.551724137931032</v>
      </c>
      <c r="F57" s="207">
        <f t="shared" si="77"/>
        <v>8.2758620689655178</v>
      </c>
      <c r="G57" s="207">
        <f t="shared" si="77"/>
        <v>3.4482758620689653</v>
      </c>
      <c r="H57" s="208">
        <f t="shared" si="77"/>
        <v>1.0344827586206897</v>
      </c>
      <c r="I57" s="2"/>
      <c r="J57" s="69" t="str">
        <f>A62</f>
        <v>飛騨圏域(n = 106 )　　</v>
      </c>
      <c r="K57" s="78">
        <f t="shared" ref="K57:P57" si="78">C63</f>
        <v>7.5471698113207548</v>
      </c>
      <c r="L57" s="79">
        <f t="shared" si="78"/>
        <v>46.226415094339622</v>
      </c>
      <c r="M57" s="80">
        <f t="shared" si="78"/>
        <v>36.79245283018868</v>
      </c>
      <c r="N57" s="79">
        <f t="shared" si="78"/>
        <v>6.6037735849056602</v>
      </c>
      <c r="O57" s="80">
        <f t="shared" si="78"/>
        <v>0.94339622641509435</v>
      </c>
      <c r="P57" s="81">
        <f t="shared" si="78"/>
        <v>1.8867924528301887</v>
      </c>
      <c r="Q57" s="24">
        <f t="shared" si="70"/>
        <v>53.773584905660378</v>
      </c>
      <c r="R57" s="24">
        <f t="shared" si="71"/>
        <v>43.39622641509434</v>
      </c>
      <c r="S57" s="25">
        <f t="shared" si="75"/>
        <v>10.377358490566039</v>
      </c>
    </row>
    <row r="58" spans="1:19" x14ac:dyDescent="0.2">
      <c r="A58" s="275" t="str">
        <f>'問1S（表）'!A68</f>
        <v>中濃圏域(n = 300 )　　</v>
      </c>
      <c r="B58" s="34">
        <f>'問1S（表）'!B68</f>
        <v>300</v>
      </c>
      <c r="C58" s="28">
        <v>8</v>
      </c>
      <c r="D58" s="29">
        <v>127</v>
      </c>
      <c r="E58" s="29">
        <v>123</v>
      </c>
      <c r="F58" s="29">
        <v>27</v>
      </c>
      <c r="G58" s="29">
        <v>13</v>
      </c>
      <c r="H58" s="30">
        <v>2</v>
      </c>
      <c r="I58" s="170">
        <v>3</v>
      </c>
      <c r="Q58" s="24"/>
      <c r="R58" s="24"/>
      <c r="S58" s="25"/>
    </row>
    <row r="59" spans="1:19" x14ac:dyDescent="0.2">
      <c r="A59" s="276"/>
      <c r="B59" s="20">
        <f>B58/$B$52*100</f>
        <v>18.564356435643564</v>
      </c>
      <c r="C59" s="20">
        <f t="shared" ref="C59:H59" si="79">C58/$B58*100</f>
        <v>2.666666666666667</v>
      </c>
      <c r="D59" s="207">
        <f t="shared" si="79"/>
        <v>42.333333333333336</v>
      </c>
      <c r="E59" s="207">
        <f t="shared" si="79"/>
        <v>41</v>
      </c>
      <c r="F59" s="207">
        <f t="shared" si="79"/>
        <v>9</v>
      </c>
      <c r="G59" s="207">
        <f t="shared" si="79"/>
        <v>4.3333333333333339</v>
      </c>
      <c r="H59" s="208">
        <f t="shared" si="79"/>
        <v>0.66666666666666674</v>
      </c>
      <c r="I59" s="2"/>
      <c r="S59" s="50"/>
    </row>
    <row r="60" spans="1:19" x14ac:dyDescent="0.2">
      <c r="A60" s="275" t="str">
        <f>'問1S（表）'!A70</f>
        <v>東濃圏域(n = 271 )　　</v>
      </c>
      <c r="B60" s="34">
        <f>'問1S（表）'!B70</f>
        <v>271</v>
      </c>
      <c r="C60" s="28">
        <v>12</v>
      </c>
      <c r="D60" s="29">
        <v>125</v>
      </c>
      <c r="E60" s="29">
        <v>107</v>
      </c>
      <c r="F60" s="29">
        <v>20</v>
      </c>
      <c r="G60" s="29">
        <v>5</v>
      </c>
      <c r="H60" s="30">
        <v>2</v>
      </c>
      <c r="I60" s="170">
        <v>4</v>
      </c>
      <c r="S60" s="50"/>
    </row>
    <row r="61" spans="1:19" x14ac:dyDescent="0.2">
      <c r="A61" s="276"/>
      <c r="B61" s="20">
        <f>B60/$B$52*100</f>
        <v>16.769801980198022</v>
      </c>
      <c r="C61" s="20">
        <f t="shared" ref="C61:H61" si="80">C60/$B60*100</f>
        <v>4.428044280442804</v>
      </c>
      <c r="D61" s="207">
        <f t="shared" si="80"/>
        <v>46.125461254612546</v>
      </c>
      <c r="E61" s="207">
        <f t="shared" si="80"/>
        <v>39.483394833948338</v>
      </c>
      <c r="F61" s="207">
        <f t="shared" si="80"/>
        <v>7.3800738007380069</v>
      </c>
      <c r="G61" s="207">
        <f t="shared" si="80"/>
        <v>1.8450184501845017</v>
      </c>
      <c r="H61" s="208">
        <f t="shared" si="80"/>
        <v>0.73800738007380073</v>
      </c>
      <c r="I61" s="2"/>
      <c r="S61" s="50"/>
    </row>
    <row r="62" spans="1:19" x14ac:dyDescent="0.2">
      <c r="A62" s="275" t="str">
        <f>'問1S（表）'!A72</f>
        <v>飛騨圏域(n = 106 )　　</v>
      </c>
      <c r="B62" s="34">
        <f>'問1S（表）'!B72</f>
        <v>106</v>
      </c>
      <c r="C62" s="28">
        <v>8</v>
      </c>
      <c r="D62" s="29">
        <v>49</v>
      </c>
      <c r="E62" s="29">
        <v>39</v>
      </c>
      <c r="F62" s="29">
        <v>7</v>
      </c>
      <c r="G62" s="29">
        <v>1</v>
      </c>
      <c r="H62" s="30">
        <v>2</v>
      </c>
      <c r="I62" s="170">
        <v>5</v>
      </c>
      <c r="S62" s="50"/>
    </row>
    <row r="63" spans="1:19" x14ac:dyDescent="0.2">
      <c r="A63" s="276"/>
      <c r="B63" s="20">
        <f>B62/$B$52*100</f>
        <v>6.5594059405940595</v>
      </c>
      <c r="C63" s="20">
        <f t="shared" ref="C63:H63" si="81">C62/$B62*100</f>
        <v>7.5471698113207548</v>
      </c>
      <c r="D63" s="207">
        <f t="shared" si="81"/>
        <v>46.226415094339622</v>
      </c>
      <c r="E63" s="207">
        <f t="shared" si="81"/>
        <v>36.79245283018868</v>
      </c>
      <c r="F63" s="207">
        <f t="shared" si="81"/>
        <v>6.6037735849056602</v>
      </c>
      <c r="G63" s="207">
        <f t="shared" si="81"/>
        <v>0.94339622641509435</v>
      </c>
      <c r="H63" s="208">
        <f t="shared" si="81"/>
        <v>1.8867924528301887</v>
      </c>
      <c r="S63" s="50"/>
    </row>
    <row r="64" spans="1:19" x14ac:dyDescent="0.2">
      <c r="S64" s="50"/>
    </row>
    <row r="65" spans="1:19" x14ac:dyDescent="0.2">
      <c r="A65" s="3" t="s">
        <v>45</v>
      </c>
      <c r="B65" s="1" t="str">
        <f>B22</f>
        <v>くらしの満足度</v>
      </c>
      <c r="C65" s="8"/>
      <c r="D65" s="8"/>
      <c r="E65" s="8"/>
      <c r="F65" s="8"/>
      <c r="G65" s="9" t="s">
        <v>1</v>
      </c>
      <c r="H65" s="9"/>
      <c r="I65" s="23" t="s">
        <v>31</v>
      </c>
      <c r="J65" s="8"/>
      <c r="K65" s="8"/>
      <c r="L65" s="8"/>
      <c r="M65" s="8"/>
      <c r="N65" s="8"/>
      <c r="O65" s="8"/>
      <c r="P65" s="8"/>
      <c r="S65" s="50"/>
    </row>
    <row r="66" spans="1:19" ht="32.4" x14ac:dyDescent="0.2">
      <c r="A66" s="12" t="s">
        <v>29</v>
      </c>
      <c r="B66" s="14" t="str">
        <f>B23</f>
        <v>調査数</v>
      </c>
      <c r="C66" s="15" t="str">
        <f t="shared" ref="C66:H66" si="82">C23</f>
        <v>十分満足している</v>
      </c>
      <c r="D66" s="16" t="str">
        <f t="shared" si="82"/>
        <v>おおむね満足している</v>
      </c>
      <c r="E66" s="17" t="str">
        <f t="shared" si="82"/>
        <v>まだまだ不満だ</v>
      </c>
      <c r="F66" s="16" t="str">
        <f t="shared" si="82"/>
        <v>きわめて不満だ</v>
      </c>
      <c r="G66" s="17" t="str">
        <f t="shared" si="82"/>
        <v>わからない</v>
      </c>
      <c r="H66" s="18" t="str">
        <f t="shared" si="82"/>
        <v>無回答</v>
      </c>
      <c r="I66" s="209" t="s">
        <v>253</v>
      </c>
      <c r="J66" s="12" t="str">
        <f t="shared" ref="J66:Q67" si="83">A66</f>
        <v>【職業別】</v>
      </c>
      <c r="K66" s="59" t="str">
        <f t="shared" si="83"/>
        <v>調査数</v>
      </c>
      <c r="L66" s="60" t="str">
        <f t="shared" si="83"/>
        <v>十分満足している</v>
      </c>
      <c r="M66" s="61" t="str">
        <f t="shared" si="83"/>
        <v>おおむね満足している</v>
      </c>
      <c r="N66" s="62" t="str">
        <f t="shared" si="83"/>
        <v>まだまだ不満だ</v>
      </c>
      <c r="O66" s="61" t="str">
        <f t="shared" si="83"/>
        <v>きわめて不満だ</v>
      </c>
      <c r="P66" s="62" t="str">
        <f t="shared" si="83"/>
        <v>わからない</v>
      </c>
      <c r="Q66" s="63" t="str">
        <f t="shared" si="83"/>
        <v>無回答</v>
      </c>
      <c r="S66" s="50"/>
    </row>
    <row r="67" spans="1:19" x14ac:dyDescent="0.2">
      <c r="A67" s="291" t="str">
        <f>'問1S（表）'!A77</f>
        <v>全体(n = 1,616 )　　</v>
      </c>
      <c r="B67" s="34">
        <f>SUM(C67:H67)</f>
        <v>1616</v>
      </c>
      <c r="C67" s="31">
        <f>$C$24</f>
        <v>59</v>
      </c>
      <c r="D67" s="32">
        <f>$D$24</f>
        <v>734</v>
      </c>
      <c r="E67" s="32">
        <f>$E$24</f>
        <v>622</v>
      </c>
      <c r="F67" s="32">
        <f>$F$24</f>
        <v>130</v>
      </c>
      <c r="G67" s="32">
        <f>$G$24</f>
        <v>59</v>
      </c>
      <c r="H67" s="33">
        <f>$H$24</f>
        <v>12</v>
      </c>
      <c r="I67" s="210" t="s">
        <v>254</v>
      </c>
      <c r="J67" s="269" t="str">
        <f t="shared" si="83"/>
        <v>全体(n = 1,616 )　　</v>
      </c>
      <c r="K67" s="113">
        <f t="shared" si="83"/>
        <v>1616</v>
      </c>
      <c r="L67" s="121">
        <f t="shared" si="83"/>
        <v>59</v>
      </c>
      <c r="M67" s="122">
        <f t="shared" si="83"/>
        <v>734</v>
      </c>
      <c r="N67" s="123">
        <f t="shared" si="83"/>
        <v>622</v>
      </c>
      <c r="O67" s="122">
        <f t="shared" si="83"/>
        <v>130</v>
      </c>
      <c r="P67" s="123">
        <f t="shared" si="83"/>
        <v>59</v>
      </c>
      <c r="Q67" s="124">
        <f t="shared" si="83"/>
        <v>12</v>
      </c>
      <c r="S67" s="50"/>
    </row>
    <row r="68" spans="1:19" x14ac:dyDescent="0.2">
      <c r="A68" s="292"/>
      <c r="B68" s="35"/>
      <c r="C68" s="20">
        <f t="shared" ref="C68" si="84">C67/$B67*100</f>
        <v>3.6509900990099009</v>
      </c>
      <c r="D68" s="207">
        <f t="shared" ref="D68" si="85">D67/$B67*100</f>
        <v>45.420792079207921</v>
      </c>
      <c r="E68" s="207">
        <f t="shared" ref="E68" si="86">E67/$B67*100</f>
        <v>38.490099009900987</v>
      </c>
      <c r="F68" s="207">
        <f t="shared" ref="F68" si="87">F67/$B67*100</f>
        <v>8.0445544554455441</v>
      </c>
      <c r="G68" s="207">
        <f t="shared" ref="G68:H68" si="88">G67/$B67*100</f>
        <v>3.6509900990099009</v>
      </c>
      <c r="H68" s="208">
        <f t="shared" si="88"/>
        <v>0.74257425742574257</v>
      </c>
      <c r="I68" s="23" t="s">
        <v>30</v>
      </c>
      <c r="J68" s="270"/>
      <c r="K68" s="114">
        <f t="shared" ref="K68:Q70" si="89">B68</f>
        <v>0</v>
      </c>
      <c r="L68" s="125">
        <f t="shared" si="89"/>
        <v>3.6509900990099009</v>
      </c>
      <c r="M68" s="126">
        <f t="shared" si="89"/>
        <v>45.420792079207921</v>
      </c>
      <c r="N68" s="127">
        <f t="shared" si="89"/>
        <v>38.490099009900987</v>
      </c>
      <c r="O68" s="126">
        <f t="shared" si="89"/>
        <v>8.0445544554455441</v>
      </c>
      <c r="P68" s="127">
        <f t="shared" si="89"/>
        <v>3.6509900990099009</v>
      </c>
      <c r="Q68" s="128">
        <f t="shared" si="89"/>
        <v>0.74257425742574257</v>
      </c>
      <c r="S68" s="50"/>
    </row>
    <row r="69" spans="1:19" x14ac:dyDescent="0.2">
      <c r="A69" s="291" t="str">
        <f>'問1S（表）'!A79</f>
        <v>自営業(n = 175 )　　</v>
      </c>
      <c r="B69" s="34">
        <f>'問1S（表）'!B79</f>
        <v>175</v>
      </c>
      <c r="C69" s="28">
        <v>5</v>
      </c>
      <c r="D69" s="29">
        <v>79</v>
      </c>
      <c r="E69" s="29">
        <v>67</v>
      </c>
      <c r="F69" s="29">
        <v>17</v>
      </c>
      <c r="G69" s="29">
        <v>7</v>
      </c>
      <c r="H69" s="30">
        <v>0</v>
      </c>
      <c r="I69" s="170">
        <v>1</v>
      </c>
      <c r="J69" s="269" t="str">
        <f>A69</f>
        <v>自営業(n = 175 )　　</v>
      </c>
      <c r="K69" s="113">
        <f t="shared" si="89"/>
        <v>175</v>
      </c>
      <c r="L69" s="121">
        <f t="shared" si="89"/>
        <v>5</v>
      </c>
      <c r="M69" s="122">
        <f t="shared" si="89"/>
        <v>79</v>
      </c>
      <c r="N69" s="123">
        <f t="shared" si="89"/>
        <v>67</v>
      </c>
      <c r="O69" s="122">
        <f t="shared" si="89"/>
        <v>17</v>
      </c>
      <c r="P69" s="123">
        <f t="shared" si="89"/>
        <v>7</v>
      </c>
      <c r="Q69" s="124">
        <f t="shared" si="89"/>
        <v>0</v>
      </c>
      <c r="S69" s="50"/>
    </row>
    <row r="70" spans="1:19" x14ac:dyDescent="0.2">
      <c r="A70" s="292"/>
      <c r="B70" s="20">
        <f>B69/$B$67*100</f>
        <v>10.829207920792079</v>
      </c>
      <c r="C70" s="20">
        <f t="shared" ref="C70" si="90">C69/$B69*100</f>
        <v>2.8571428571428572</v>
      </c>
      <c r="D70" s="207">
        <f t="shared" ref="D70" si="91">D69/$B69*100</f>
        <v>45.142857142857139</v>
      </c>
      <c r="E70" s="207">
        <f t="shared" ref="E70" si="92">E69/$B69*100</f>
        <v>38.285714285714285</v>
      </c>
      <c r="F70" s="207">
        <f t="shared" ref="F70" si="93">F69/$B69*100</f>
        <v>9.7142857142857135</v>
      </c>
      <c r="G70" s="207">
        <f t="shared" ref="G70:H70" si="94">G69/$B69*100</f>
        <v>4</v>
      </c>
      <c r="H70" s="208">
        <f t="shared" si="94"/>
        <v>0</v>
      </c>
      <c r="I70" s="2"/>
      <c r="J70" s="270"/>
      <c r="K70" s="114">
        <f t="shared" si="89"/>
        <v>10.829207920792079</v>
      </c>
      <c r="L70" s="125">
        <f t="shared" si="89"/>
        <v>2.8571428571428572</v>
      </c>
      <c r="M70" s="126">
        <f t="shared" si="89"/>
        <v>45.142857142857139</v>
      </c>
      <c r="N70" s="127">
        <f t="shared" si="89"/>
        <v>38.285714285714285</v>
      </c>
      <c r="O70" s="126">
        <f t="shared" si="89"/>
        <v>9.7142857142857135</v>
      </c>
      <c r="P70" s="127">
        <f t="shared" si="89"/>
        <v>4</v>
      </c>
      <c r="Q70" s="128">
        <f t="shared" si="89"/>
        <v>0</v>
      </c>
      <c r="S70" s="50"/>
    </row>
    <row r="71" spans="1:19" x14ac:dyDescent="0.2">
      <c r="A71" s="291" t="str">
        <f>'問1S（表）'!A81</f>
        <v>自由業(※1)(n = 12 )　　</v>
      </c>
      <c r="B71" s="34">
        <f>'問1S（表）'!B81</f>
        <v>12</v>
      </c>
      <c r="C71" s="28">
        <v>1</v>
      </c>
      <c r="D71" s="29">
        <v>5</v>
      </c>
      <c r="E71" s="29">
        <v>4</v>
      </c>
      <c r="F71" s="29">
        <v>2</v>
      </c>
      <c r="G71" s="29">
        <v>0</v>
      </c>
      <c r="H71" s="30">
        <v>0</v>
      </c>
      <c r="I71" s="170">
        <v>2</v>
      </c>
      <c r="J71" s="269" t="str">
        <f t="shared" ref="J71:Q71" si="95">A73</f>
        <v>会社・団体役員(n = 171 )　　</v>
      </c>
      <c r="K71" s="113">
        <f t="shared" si="95"/>
        <v>171</v>
      </c>
      <c r="L71" s="121">
        <f t="shared" si="95"/>
        <v>9</v>
      </c>
      <c r="M71" s="122">
        <f t="shared" si="95"/>
        <v>86</v>
      </c>
      <c r="N71" s="123">
        <f t="shared" si="95"/>
        <v>68</v>
      </c>
      <c r="O71" s="122">
        <f t="shared" si="95"/>
        <v>6</v>
      </c>
      <c r="P71" s="123">
        <f t="shared" si="95"/>
        <v>1</v>
      </c>
      <c r="Q71" s="124">
        <f t="shared" si="95"/>
        <v>1</v>
      </c>
      <c r="S71" s="50"/>
    </row>
    <row r="72" spans="1:19" x14ac:dyDescent="0.2">
      <c r="A72" s="292"/>
      <c r="B72" s="20">
        <f>B71/$B$67*100</f>
        <v>0.74257425742574257</v>
      </c>
      <c r="C72" s="20">
        <f t="shared" ref="C72" si="96">C71/$B71*100</f>
        <v>8.3333333333333321</v>
      </c>
      <c r="D72" s="207">
        <f t="shared" ref="D72" si="97">D71/$B71*100</f>
        <v>41.666666666666671</v>
      </c>
      <c r="E72" s="207">
        <f t="shared" ref="E72" si="98">E71/$B71*100</f>
        <v>33.333333333333329</v>
      </c>
      <c r="F72" s="207">
        <f t="shared" ref="F72" si="99">F71/$B71*100</f>
        <v>16.666666666666664</v>
      </c>
      <c r="G72" s="207">
        <f t="shared" ref="G72:H72" si="100">G71/$B71*100</f>
        <v>0</v>
      </c>
      <c r="H72" s="208">
        <f t="shared" si="100"/>
        <v>0</v>
      </c>
      <c r="I72" s="2"/>
      <c r="J72" s="270"/>
      <c r="K72" s="114">
        <f t="shared" ref="K72:Q76" si="101">B74</f>
        <v>10.581683168316831</v>
      </c>
      <c r="L72" s="125">
        <f t="shared" si="101"/>
        <v>5.2631578947368416</v>
      </c>
      <c r="M72" s="126">
        <f t="shared" si="101"/>
        <v>50.292397660818708</v>
      </c>
      <c r="N72" s="127">
        <f t="shared" si="101"/>
        <v>39.76608187134503</v>
      </c>
      <c r="O72" s="126">
        <f t="shared" si="101"/>
        <v>3.5087719298245612</v>
      </c>
      <c r="P72" s="127">
        <f t="shared" si="101"/>
        <v>0.58479532163742687</v>
      </c>
      <c r="Q72" s="128">
        <f t="shared" si="101"/>
        <v>0.58479532163742687</v>
      </c>
      <c r="S72" s="50"/>
    </row>
    <row r="73" spans="1:19" x14ac:dyDescent="0.2">
      <c r="A73" s="291" t="str">
        <f>'問1S（表）'!A83</f>
        <v>会社・団体役員(n = 171 )　　</v>
      </c>
      <c r="B73" s="34">
        <f>'問1S（表）'!B83</f>
        <v>171</v>
      </c>
      <c r="C73" s="28">
        <v>9</v>
      </c>
      <c r="D73" s="29">
        <v>86</v>
      </c>
      <c r="E73" s="29">
        <v>68</v>
      </c>
      <c r="F73" s="29">
        <v>6</v>
      </c>
      <c r="G73" s="29">
        <v>1</v>
      </c>
      <c r="H73" s="30">
        <v>1</v>
      </c>
      <c r="I73" s="170">
        <v>3</v>
      </c>
      <c r="J73" s="271" t="str">
        <f>A75</f>
        <v>正規の従業員・職員(n = 423 )　　</v>
      </c>
      <c r="K73" s="113">
        <f t="shared" si="101"/>
        <v>423</v>
      </c>
      <c r="L73" s="121">
        <f t="shared" si="101"/>
        <v>12</v>
      </c>
      <c r="M73" s="122">
        <f t="shared" si="101"/>
        <v>188</v>
      </c>
      <c r="N73" s="123">
        <f t="shared" si="101"/>
        <v>175</v>
      </c>
      <c r="O73" s="122">
        <f t="shared" si="101"/>
        <v>33</v>
      </c>
      <c r="P73" s="123">
        <f t="shared" si="101"/>
        <v>13</v>
      </c>
      <c r="Q73" s="124">
        <f t="shared" si="101"/>
        <v>2</v>
      </c>
      <c r="S73" s="50"/>
    </row>
    <row r="74" spans="1:19" x14ac:dyDescent="0.2">
      <c r="A74" s="292"/>
      <c r="B74" s="20">
        <f>B73/$B$67*100</f>
        <v>10.581683168316831</v>
      </c>
      <c r="C74" s="20">
        <f t="shared" ref="C74" si="102">C73/$B73*100</f>
        <v>5.2631578947368416</v>
      </c>
      <c r="D74" s="207">
        <f t="shared" ref="D74" si="103">D73/$B73*100</f>
        <v>50.292397660818708</v>
      </c>
      <c r="E74" s="207">
        <f t="shared" ref="E74" si="104">E73/$B73*100</f>
        <v>39.76608187134503</v>
      </c>
      <c r="F74" s="207">
        <f t="shared" ref="F74" si="105">F73/$B73*100</f>
        <v>3.5087719298245612</v>
      </c>
      <c r="G74" s="207">
        <f t="shared" ref="G74:H74" si="106">G73/$B73*100</f>
        <v>0.58479532163742687</v>
      </c>
      <c r="H74" s="208">
        <f t="shared" si="106"/>
        <v>0.58479532163742687</v>
      </c>
      <c r="I74" s="2"/>
      <c r="J74" s="272"/>
      <c r="K74" s="114">
        <f t="shared" si="101"/>
        <v>26.175742574257427</v>
      </c>
      <c r="L74" s="125">
        <f t="shared" si="101"/>
        <v>2.8368794326241136</v>
      </c>
      <c r="M74" s="126">
        <f t="shared" si="101"/>
        <v>44.444444444444443</v>
      </c>
      <c r="N74" s="127">
        <f t="shared" si="101"/>
        <v>41.371158392434985</v>
      </c>
      <c r="O74" s="126">
        <f t="shared" si="101"/>
        <v>7.8014184397163122</v>
      </c>
      <c r="P74" s="127">
        <f t="shared" si="101"/>
        <v>3.0732860520094563</v>
      </c>
      <c r="Q74" s="128">
        <f t="shared" si="101"/>
        <v>0.4728132387706856</v>
      </c>
      <c r="S74" s="50"/>
    </row>
    <row r="75" spans="1:19" x14ac:dyDescent="0.2">
      <c r="A75" s="293" t="str">
        <f>'問1S（表）'!A85</f>
        <v>正規の従業員・職員(n = 423 )　　</v>
      </c>
      <c r="B75" s="34">
        <f>'問1S（表）'!B85</f>
        <v>423</v>
      </c>
      <c r="C75" s="28">
        <v>12</v>
      </c>
      <c r="D75" s="29">
        <v>188</v>
      </c>
      <c r="E75" s="29">
        <v>175</v>
      </c>
      <c r="F75" s="29">
        <v>33</v>
      </c>
      <c r="G75" s="29">
        <v>13</v>
      </c>
      <c r="H75" s="30">
        <v>2</v>
      </c>
      <c r="I75" s="170">
        <v>4</v>
      </c>
      <c r="J75" s="265" t="str">
        <f>A77</f>
        <v>パートタイム・アルバイト・派遣(n = 346 )　　</v>
      </c>
      <c r="K75" s="113">
        <f t="shared" si="101"/>
        <v>346</v>
      </c>
      <c r="L75" s="121">
        <f t="shared" si="101"/>
        <v>12</v>
      </c>
      <c r="M75" s="122">
        <f t="shared" si="101"/>
        <v>145</v>
      </c>
      <c r="N75" s="123">
        <f t="shared" si="101"/>
        <v>147</v>
      </c>
      <c r="O75" s="122">
        <f t="shared" si="101"/>
        <v>30</v>
      </c>
      <c r="P75" s="123">
        <f t="shared" si="101"/>
        <v>11</v>
      </c>
      <c r="Q75" s="124">
        <f t="shared" si="101"/>
        <v>1</v>
      </c>
      <c r="S75" s="50"/>
    </row>
    <row r="76" spans="1:19" x14ac:dyDescent="0.2">
      <c r="A76" s="294"/>
      <c r="B76" s="20">
        <f>B75/$B$67*100</f>
        <v>26.175742574257427</v>
      </c>
      <c r="C76" s="20">
        <f t="shared" ref="C76" si="107">C75/$B75*100</f>
        <v>2.8368794326241136</v>
      </c>
      <c r="D76" s="207">
        <f t="shared" ref="D76" si="108">D75/$B75*100</f>
        <v>44.444444444444443</v>
      </c>
      <c r="E76" s="207">
        <f t="shared" ref="E76" si="109">E75/$B75*100</f>
        <v>41.371158392434985</v>
      </c>
      <c r="F76" s="207">
        <f t="shared" ref="F76" si="110">F75/$B75*100</f>
        <v>7.8014184397163122</v>
      </c>
      <c r="G76" s="207">
        <f t="shared" ref="G76:H76" si="111">G75/$B75*100</f>
        <v>3.0732860520094563</v>
      </c>
      <c r="H76" s="208">
        <f t="shared" si="111"/>
        <v>0.4728132387706856</v>
      </c>
      <c r="I76" s="2"/>
      <c r="J76" s="266"/>
      <c r="K76" s="114">
        <f t="shared" si="101"/>
        <v>21.410891089108912</v>
      </c>
      <c r="L76" s="125">
        <f t="shared" si="101"/>
        <v>3.4682080924855487</v>
      </c>
      <c r="M76" s="126">
        <f t="shared" si="101"/>
        <v>41.907514450867048</v>
      </c>
      <c r="N76" s="127">
        <f t="shared" si="101"/>
        <v>42.485549132947973</v>
      </c>
      <c r="O76" s="126">
        <f t="shared" si="101"/>
        <v>8.6705202312138727</v>
      </c>
      <c r="P76" s="127">
        <f t="shared" si="101"/>
        <v>3.1791907514450863</v>
      </c>
      <c r="Q76" s="128">
        <f t="shared" si="101"/>
        <v>0.28901734104046239</v>
      </c>
      <c r="S76" s="50"/>
    </row>
    <row r="77" spans="1:19" x14ac:dyDescent="0.2">
      <c r="A77" s="295" t="str">
        <f>'問1S（表）'!A87</f>
        <v>パートタイム・アルバイト・派遣(n = 346 )　　</v>
      </c>
      <c r="B77" s="34">
        <f>'問1S（表）'!B87</f>
        <v>346</v>
      </c>
      <c r="C77" s="28">
        <v>12</v>
      </c>
      <c r="D77" s="29">
        <v>145</v>
      </c>
      <c r="E77" s="29">
        <v>147</v>
      </c>
      <c r="F77" s="29">
        <v>30</v>
      </c>
      <c r="G77" s="29">
        <v>11</v>
      </c>
      <c r="H77" s="30">
        <v>1</v>
      </c>
      <c r="I77" s="170">
        <v>5</v>
      </c>
      <c r="J77" s="269" t="str">
        <f t="shared" ref="J77:Q77" si="112">A81</f>
        <v>家事従事(n = 150 )　　</v>
      </c>
      <c r="K77" s="113">
        <f t="shared" si="112"/>
        <v>150</v>
      </c>
      <c r="L77" s="121">
        <f t="shared" si="112"/>
        <v>3</v>
      </c>
      <c r="M77" s="122">
        <f t="shared" si="112"/>
        <v>86</v>
      </c>
      <c r="N77" s="123">
        <f t="shared" si="112"/>
        <v>47</v>
      </c>
      <c r="O77" s="122">
        <f t="shared" si="112"/>
        <v>9</v>
      </c>
      <c r="P77" s="123">
        <f t="shared" si="112"/>
        <v>4</v>
      </c>
      <c r="Q77" s="124">
        <f t="shared" si="112"/>
        <v>1</v>
      </c>
      <c r="S77" s="50"/>
    </row>
    <row r="78" spans="1:19" x14ac:dyDescent="0.2">
      <c r="A78" s="296"/>
      <c r="B78" s="20">
        <f>B77/$B$67*100</f>
        <v>21.410891089108912</v>
      </c>
      <c r="C78" s="20">
        <f t="shared" ref="C78" si="113">C77/$B77*100</f>
        <v>3.4682080924855487</v>
      </c>
      <c r="D78" s="207">
        <f t="shared" ref="D78" si="114">D77/$B77*100</f>
        <v>41.907514450867048</v>
      </c>
      <c r="E78" s="207">
        <f t="shared" ref="E78" si="115">E77/$B77*100</f>
        <v>42.485549132947973</v>
      </c>
      <c r="F78" s="207">
        <f t="shared" ref="F78" si="116">F77/$B77*100</f>
        <v>8.6705202312138727</v>
      </c>
      <c r="G78" s="207">
        <f t="shared" ref="G78:H78" si="117">G77/$B77*100</f>
        <v>3.1791907514450863</v>
      </c>
      <c r="H78" s="208">
        <f t="shared" si="117"/>
        <v>0.28901734104046239</v>
      </c>
      <c r="I78" s="19"/>
      <c r="J78" s="270"/>
      <c r="K78" s="114">
        <f t="shared" ref="K78:Q80" si="118">B82</f>
        <v>9.282178217821782</v>
      </c>
      <c r="L78" s="125">
        <f t="shared" si="118"/>
        <v>2</v>
      </c>
      <c r="M78" s="126">
        <f t="shared" si="118"/>
        <v>57.333333333333336</v>
      </c>
      <c r="N78" s="127">
        <f t="shared" si="118"/>
        <v>31.333333333333336</v>
      </c>
      <c r="O78" s="126">
        <f t="shared" si="118"/>
        <v>6</v>
      </c>
      <c r="P78" s="127">
        <f t="shared" si="118"/>
        <v>2.666666666666667</v>
      </c>
      <c r="Q78" s="128">
        <f t="shared" si="118"/>
        <v>0.66666666666666674</v>
      </c>
      <c r="S78" s="50"/>
    </row>
    <row r="79" spans="1:19" x14ac:dyDescent="0.2">
      <c r="A79" s="291" t="str">
        <f>'問1S（表）'!A89</f>
        <v>学生(n = 44 )　　</v>
      </c>
      <c r="B79" s="34">
        <f>'問1S（表）'!B89</f>
        <v>44</v>
      </c>
      <c r="C79" s="28">
        <v>7</v>
      </c>
      <c r="D79" s="29">
        <v>26</v>
      </c>
      <c r="E79" s="29">
        <v>11</v>
      </c>
      <c r="F79" s="29">
        <v>0</v>
      </c>
      <c r="G79" s="29">
        <v>0</v>
      </c>
      <c r="H79" s="30">
        <v>0</v>
      </c>
      <c r="I79" s="170">
        <v>6</v>
      </c>
      <c r="J79" s="269" t="str">
        <f>A83</f>
        <v>無職(n = 263 )　　</v>
      </c>
      <c r="K79" s="113">
        <f t="shared" si="118"/>
        <v>263</v>
      </c>
      <c r="L79" s="121">
        <f t="shared" si="118"/>
        <v>7</v>
      </c>
      <c r="M79" s="122">
        <f t="shared" si="118"/>
        <v>109</v>
      </c>
      <c r="N79" s="123">
        <f t="shared" si="118"/>
        <v>91</v>
      </c>
      <c r="O79" s="122">
        <f t="shared" si="118"/>
        <v>31</v>
      </c>
      <c r="P79" s="123">
        <f t="shared" si="118"/>
        <v>19</v>
      </c>
      <c r="Q79" s="124">
        <f t="shared" si="118"/>
        <v>6</v>
      </c>
      <c r="S79" s="50"/>
    </row>
    <row r="80" spans="1:19" x14ac:dyDescent="0.2">
      <c r="A80" s="292"/>
      <c r="B80" s="20">
        <f>B79/$B$67*100</f>
        <v>2.722772277227723</v>
      </c>
      <c r="C80" s="20">
        <f t="shared" ref="C80" si="119">C79/$B79*100</f>
        <v>15.909090909090908</v>
      </c>
      <c r="D80" s="207">
        <f t="shared" ref="D80" si="120">D79/$B79*100</f>
        <v>59.090909090909093</v>
      </c>
      <c r="E80" s="207">
        <f t="shared" ref="E80" si="121">E79/$B79*100</f>
        <v>25</v>
      </c>
      <c r="F80" s="207">
        <f t="shared" ref="F80" si="122">F79/$B79*100</f>
        <v>0</v>
      </c>
      <c r="G80" s="207">
        <f t="shared" ref="G80:H80" si="123">G79/$B79*100</f>
        <v>0</v>
      </c>
      <c r="H80" s="208">
        <f t="shared" si="123"/>
        <v>0</v>
      </c>
      <c r="I80" s="19"/>
      <c r="J80" s="270"/>
      <c r="K80" s="114">
        <f t="shared" si="118"/>
        <v>16.274752475247524</v>
      </c>
      <c r="L80" s="125">
        <f t="shared" si="118"/>
        <v>2.6615969581749046</v>
      </c>
      <c r="M80" s="126">
        <f t="shared" si="118"/>
        <v>41.444866920152087</v>
      </c>
      <c r="N80" s="127">
        <f t="shared" si="118"/>
        <v>34.600760456273768</v>
      </c>
      <c r="O80" s="126">
        <f t="shared" si="118"/>
        <v>11.787072243346007</v>
      </c>
      <c r="P80" s="127">
        <f t="shared" si="118"/>
        <v>7.2243346007604554</v>
      </c>
      <c r="Q80" s="128">
        <f t="shared" si="118"/>
        <v>2.2813688212927756</v>
      </c>
      <c r="S80" s="50"/>
    </row>
    <row r="81" spans="1:19" x14ac:dyDescent="0.2">
      <c r="A81" s="291" t="str">
        <f>'問1S（表）'!A91</f>
        <v>家事従事(n = 150 )　　</v>
      </c>
      <c r="B81" s="34">
        <f>'問1S（表）'!B91</f>
        <v>150</v>
      </c>
      <c r="C81" s="28">
        <v>3</v>
      </c>
      <c r="D81" s="29">
        <v>86</v>
      </c>
      <c r="E81" s="29">
        <v>47</v>
      </c>
      <c r="F81" s="29">
        <v>9</v>
      </c>
      <c r="G81" s="29">
        <v>4</v>
      </c>
      <c r="H81" s="30">
        <v>1</v>
      </c>
      <c r="I81" s="170">
        <v>7</v>
      </c>
      <c r="J81" s="269" t="str">
        <f>'問1S（表）'!I91</f>
        <v>その他(n = 74 )　　</v>
      </c>
      <c r="K81" s="113">
        <f t="shared" ref="K81:Q81" si="124">B71+B79+B85</f>
        <v>74</v>
      </c>
      <c r="L81" s="121">
        <f t="shared" si="124"/>
        <v>10</v>
      </c>
      <c r="M81" s="122">
        <f t="shared" si="124"/>
        <v>36</v>
      </c>
      <c r="N81" s="123">
        <f t="shared" si="124"/>
        <v>22</v>
      </c>
      <c r="O81" s="122">
        <f t="shared" si="124"/>
        <v>4</v>
      </c>
      <c r="P81" s="123">
        <f t="shared" si="124"/>
        <v>1</v>
      </c>
      <c r="Q81" s="124">
        <f t="shared" si="124"/>
        <v>1</v>
      </c>
      <c r="S81" s="50"/>
    </row>
    <row r="82" spans="1:19" ht="13.5" customHeight="1" x14ac:dyDescent="0.2">
      <c r="A82" s="292"/>
      <c r="B82" s="20">
        <f>B81/$B$67*100</f>
        <v>9.282178217821782</v>
      </c>
      <c r="C82" s="20">
        <f t="shared" ref="C82" si="125">C81/$B81*100</f>
        <v>2</v>
      </c>
      <c r="D82" s="207">
        <f t="shared" ref="D82" si="126">D81/$B81*100</f>
        <v>57.333333333333336</v>
      </c>
      <c r="E82" s="207">
        <f t="shared" ref="E82" si="127">E81/$B81*100</f>
        <v>31.333333333333336</v>
      </c>
      <c r="F82" s="207">
        <f t="shared" ref="F82" si="128">F81/$B81*100</f>
        <v>6</v>
      </c>
      <c r="G82" s="207">
        <f t="shared" ref="G82:H82" si="129">G81/$B81*100</f>
        <v>2.666666666666667</v>
      </c>
      <c r="H82" s="208">
        <f t="shared" si="129"/>
        <v>0.66666666666666674</v>
      </c>
      <c r="I82" s="19"/>
      <c r="J82" s="270"/>
      <c r="K82" s="125">
        <f>K81/$K$67*100</f>
        <v>4.5792079207920793</v>
      </c>
      <c r="L82" s="125">
        <f t="shared" ref="L82:Q82" si="130">ROUND(L81/$K81*100,1)</f>
        <v>13.5</v>
      </c>
      <c r="M82" s="126">
        <f t="shared" si="130"/>
        <v>48.6</v>
      </c>
      <c r="N82" s="127">
        <f t="shared" si="130"/>
        <v>29.7</v>
      </c>
      <c r="O82" s="126">
        <f t="shared" si="130"/>
        <v>5.4</v>
      </c>
      <c r="P82" s="127">
        <f t="shared" si="130"/>
        <v>1.4</v>
      </c>
      <c r="Q82" s="128">
        <f t="shared" si="130"/>
        <v>1.4</v>
      </c>
      <c r="S82" s="50"/>
    </row>
    <row r="83" spans="1:19" x14ac:dyDescent="0.2">
      <c r="A83" s="291" t="str">
        <f>'問1S（表）'!A93</f>
        <v>無職(n = 263 )　　</v>
      </c>
      <c r="B83" s="34">
        <f>'問1S（表）'!B93</f>
        <v>263</v>
      </c>
      <c r="C83" s="28">
        <v>7</v>
      </c>
      <c r="D83" s="29">
        <v>109</v>
      </c>
      <c r="E83" s="29">
        <v>91</v>
      </c>
      <c r="F83" s="29">
        <v>31</v>
      </c>
      <c r="G83" s="29">
        <v>19</v>
      </c>
      <c r="H83" s="30">
        <v>6</v>
      </c>
      <c r="I83" s="170">
        <v>8</v>
      </c>
      <c r="J83" s="261" t="s">
        <v>33</v>
      </c>
      <c r="K83" s="22"/>
      <c r="L83" s="22"/>
      <c r="M83" s="22"/>
      <c r="N83" s="4"/>
      <c r="O83" s="4"/>
      <c r="P83" s="4"/>
      <c r="S83" s="50"/>
    </row>
    <row r="84" spans="1:19" ht="13.5" customHeight="1" x14ac:dyDescent="0.2">
      <c r="A84" s="292"/>
      <c r="B84" s="20">
        <f>B83/$B$67*100</f>
        <v>16.274752475247524</v>
      </c>
      <c r="C84" s="20">
        <f t="shared" ref="C84:H86" si="131">C83/$B83*100</f>
        <v>2.6615969581749046</v>
      </c>
      <c r="D84" s="207">
        <f t="shared" ref="D84" si="132">D83/$B83*100</f>
        <v>41.444866920152087</v>
      </c>
      <c r="E84" s="207">
        <f t="shared" ref="E84" si="133">E83/$B83*100</f>
        <v>34.600760456273768</v>
      </c>
      <c r="F84" s="207">
        <f t="shared" ref="F84" si="134">F83/$B83*100</f>
        <v>11.787072243346007</v>
      </c>
      <c r="G84" s="207">
        <f t="shared" ref="G84:H84" si="135">G83/$B83*100</f>
        <v>7.2243346007604554</v>
      </c>
      <c r="H84" s="208">
        <f t="shared" si="135"/>
        <v>2.2813688212927756</v>
      </c>
      <c r="I84" s="19"/>
      <c r="J84" s="262"/>
      <c r="K84" s="8"/>
      <c r="L84" s="8"/>
      <c r="M84" s="8"/>
      <c r="N84" s="8"/>
      <c r="O84" s="8"/>
      <c r="P84" s="8"/>
      <c r="S84" s="50"/>
    </row>
    <row r="85" spans="1:19" ht="13.5" customHeight="1" x14ac:dyDescent="0.2">
      <c r="A85" s="291" t="str">
        <f>'問1S（表）'!A95</f>
        <v>その他(n = 18 )　　</v>
      </c>
      <c r="B85" s="34">
        <f>'問1S（表）'!B95</f>
        <v>18</v>
      </c>
      <c r="C85" s="28">
        <v>2</v>
      </c>
      <c r="D85" s="29">
        <v>5</v>
      </c>
      <c r="E85" s="29">
        <v>7</v>
      </c>
      <c r="F85" s="29">
        <v>2</v>
      </c>
      <c r="G85" s="29">
        <v>1</v>
      </c>
      <c r="H85" s="30">
        <v>1</v>
      </c>
      <c r="I85" s="170">
        <v>9</v>
      </c>
      <c r="J85" s="12" t="str">
        <f>J66</f>
        <v>【職業別】</v>
      </c>
      <c r="K85" s="100" t="str">
        <f t="shared" ref="K85:P85" si="136">L66</f>
        <v>十分満足している</v>
      </c>
      <c r="L85" s="101" t="str">
        <f t="shared" si="136"/>
        <v>おおむね満足している</v>
      </c>
      <c r="M85" s="100" t="str">
        <f t="shared" si="136"/>
        <v>まだまだ不満だ</v>
      </c>
      <c r="N85" s="101" t="str">
        <f t="shared" si="136"/>
        <v>きわめて不満だ</v>
      </c>
      <c r="O85" s="101" t="str">
        <f t="shared" si="136"/>
        <v>わからない</v>
      </c>
      <c r="P85" s="102" t="str">
        <f t="shared" si="136"/>
        <v>無回答</v>
      </c>
      <c r="Q85" s="46" t="s">
        <v>93</v>
      </c>
      <c r="R85" s="46" t="s">
        <v>94</v>
      </c>
      <c r="S85" s="51" t="s">
        <v>42</v>
      </c>
    </row>
    <row r="86" spans="1:19" ht="13.5" customHeight="1" x14ac:dyDescent="0.2">
      <c r="A86" s="292"/>
      <c r="B86" s="20">
        <f>B85/$B$67*100</f>
        <v>1.1138613861386137</v>
      </c>
      <c r="C86" s="20">
        <f t="shared" si="131"/>
        <v>11.111111111111111</v>
      </c>
      <c r="D86" s="207">
        <f t="shared" si="131"/>
        <v>27.777777777777779</v>
      </c>
      <c r="E86" s="207">
        <f t="shared" si="131"/>
        <v>38.888888888888893</v>
      </c>
      <c r="F86" s="207">
        <f t="shared" si="131"/>
        <v>11.111111111111111</v>
      </c>
      <c r="G86" s="207">
        <f t="shared" si="131"/>
        <v>5.5555555555555554</v>
      </c>
      <c r="H86" s="208">
        <f t="shared" si="131"/>
        <v>5.5555555555555554</v>
      </c>
      <c r="I86" s="19"/>
      <c r="J86" s="67" t="str">
        <f>J67</f>
        <v>全体(n = 1,616 )　　</v>
      </c>
      <c r="K86" s="71">
        <f>L68</f>
        <v>3.6509900990099009</v>
      </c>
      <c r="L86" s="72">
        <f t="shared" ref="L86:O86" si="137">M68</f>
        <v>45.420792079207921</v>
      </c>
      <c r="M86" s="71">
        <f t="shared" si="137"/>
        <v>38.490099009900987</v>
      </c>
      <c r="N86" s="72">
        <f t="shared" si="137"/>
        <v>8.0445544554455441</v>
      </c>
      <c r="O86" s="72">
        <f t="shared" si="137"/>
        <v>3.6509900990099009</v>
      </c>
      <c r="P86" s="73">
        <f>Q68</f>
        <v>0.74257425742574257</v>
      </c>
      <c r="Q86" s="47">
        <f>K86+L86</f>
        <v>49.071782178217823</v>
      </c>
      <c r="R86" s="47">
        <f>M86+N86</f>
        <v>46.53465346534653</v>
      </c>
      <c r="S86" s="49">
        <f>Q86-R86</f>
        <v>2.5371287128712936</v>
      </c>
    </row>
    <row r="87" spans="1:19" ht="13.5" customHeight="1" x14ac:dyDescent="0.2">
      <c r="J87" s="82" t="str">
        <f>J69</f>
        <v>自営業(n = 175 )　　</v>
      </c>
      <c r="K87" s="85">
        <f>L70</f>
        <v>2.8571428571428572</v>
      </c>
      <c r="L87" s="86">
        <f t="shared" ref="L87:O87" si="138">M70</f>
        <v>45.142857142857139</v>
      </c>
      <c r="M87" s="85">
        <f t="shared" si="138"/>
        <v>38.285714285714285</v>
      </c>
      <c r="N87" s="86">
        <f t="shared" si="138"/>
        <v>9.7142857142857135</v>
      </c>
      <c r="O87" s="86">
        <f t="shared" si="138"/>
        <v>4</v>
      </c>
      <c r="P87" s="87">
        <f t="shared" ref="P87" si="139">Q70</f>
        <v>0</v>
      </c>
      <c r="Q87" s="24">
        <f>K87+L87</f>
        <v>47.999999999999993</v>
      </c>
      <c r="R87" s="24">
        <f t="shared" ref="R87:R93" si="140">M87+N87</f>
        <v>48</v>
      </c>
      <c r="S87" s="25">
        <f>Q87-R87</f>
        <v>0</v>
      </c>
    </row>
    <row r="88" spans="1:19" ht="13.5" customHeight="1" x14ac:dyDescent="0.2">
      <c r="J88" s="83" t="str">
        <f>J71</f>
        <v>会社・団体役員(n = 171 )　　</v>
      </c>
      <c r="K88" s="89">
        <f>L72</f>
        <v>5.2631578947368416</v>
      </c>
      <c r="L88" s="90">
        <f t="shared" ref="L88:O88" si="141">M72</f>
        <v>50.292397660818708</v>
      </c>
      <c r="M88" s="89">
        <f t="shared" si="141"/>
        <v>39.76608187134503</v>
      </c>
      <c r="N88" s="90">
        <f t="shared" si="141"/>
        <v>3.5087719298245612</v>
      </c>
      <c r="O88" s="90">
        <f t="shared" si="141"/>
        <v>0.58479532163742687</v>
      </c>
      <c r="P88" s="91">
        <f t="shared" ref="P88" si="142">Q72</f>
        <v>0.58479532163742687</v>
      </c>
      <c r="Q88" s="24">
        <f>K88+L88</f>
        <v>55.55555555555555</v>
      </c>
      <c r="R88" s="24">
        <f t="shared" si="140"/>
        <v>43.274853801169591</v>
      </c>
      <c r="S88" s="25">
        <f>Q88-R88</f>
        <v>12.280701754385959</v>
      </c>
    </row>
    <row r="89" spans="1:19" ht="13.5" customHeight="1" x14ac:dyDescent="0.2">
      <c r="J89" s="83" t="str">
        <f>J73</f>
        <v>正規の従業員・職員(n = 423 )　　</v>
      </c>
      <c r="K89" s="89">
        <f>L74</f>
        <v>2.8368794326241136</v>
      </c>
      <c r="L89" s="90">
        <f t="shared" ref="L89:O89" si="143">M74</f>
        <v>44.444444444444443</v>
      </c>
      <c r="M89" s="89">
        <f t="shared" si="143"/>
        <v>41.371158392434985</v>
      </c>
      <c r="N89" s="90">
        <f t="shared" si="143"/>
        <v>7.8014184397163122</v>
      </c>
      <c r="O89" s="90">
        <f t="shared" si="143"/>
        <v>3.0732860520094563</v>
      </c>
      <c r="P89" s="91">
        <f t="shared" ref="P89" si="144">Q74</f>
        <v>0.4728132387706856</v>
      </c>
      <c r="Q89" s="24">
        <f t="shared" ref="Q89:Q91" si="145">K89+L89</f>
        <v>47.281323877068559</v>
      </c>
      <c r="R89" s="24">
        <f t="shared" si="140"/>
        <v>49.1725768321513</v>
      </c>
      <c r="S89" s="25">
        <f t="shared" ref="S89:S91" si="146">Q89-R89</f>
        <v>-1.8912529550827415</v>
      </c>
    </row>
    <row r="90" spans="1:19" ht="13.5" customHeight="1" x14ac:dyDescent="0.2">
      <c r="J90" s="83" t="str">
        <f>J75</f>
        <v>パートタイム・アルバイト・派遣(n = 346 )　　</v>
      </c>
      <c r="K90" s="89">
        <f>L76</f>
        <v>3.4682080924855487</v>
      </c>
      <c r="L90" s="90">
        <f t="shared" ref="L90:O90" si="147">M76</f>
        <v>41.907514450867048</v>
      </c>
      <c r="M90" s="89">
        <f t="shared" si="147"/>
        <v>42.485549132947973</v>
      </c>
      <c r="N90" s="90">
        <f t="shared" si="147"/>
        <v>8.6705202312138727</v>
      </c>
      <c r="O90" s="90">
        <f t="shared" si="147"/>
        <v>3.1791907514450863</v>
      </c>
      <c r="P90" s="91">
        <f t="shared" ref="P90" si="148">Q76</f>
        <v>0.28901734104046239</v>
      </c>
      <c r="Q90" s="24">
        <f t="shared" si="145"/>
        <v>45.375722543352595</v>
      </c>
      <c r="R90" s="24">
        <f t="shared" si="140"/>
        <v>51.156069364161844</v>
      </c>
      <c r="S90" s="25">
        <f t="shared" si="146"/>
        <v>-5.7803468208092497</v>
      </c>
    </row>
    <row r="91" spans="1:19" ht="13.5" customHeight="1" x14ac:dyDescent="0.2">
      <c r="J91" s="83" t="str">
        <f>J77</f>
        <v>家事従事(n = 150 )　　</v>
      </c>
      <c r="K91" s="89">
        <f>L78</f>
        <v>2</v>
      </c>
      <c r="L91" s="90">
        <f t="shared" ref="L91:O91" si="149">M78</f>
        <v>57.333333333333336</v>
      </c>
      <c r="M91" s="89">
        <f t="shared" si="149"/>
        <v>31.333333333333336</v>
      </c>
      <c r="N91" s="90">
        <f t="shared" si="149"/>
        <v>6</v>
      </c>
      <c r="O91" s="90">
        <f t="shared" si="149"/>
        <v>2.666666666666667</v>
      </c>
      <c r="P91" s="91">
        <f t="shared" ref="P91" si="150">Q78</f>
        <v>0.66666666666666674</v>
      </c>
      <c r="Q91" s="24">
        <f t="shared" si="145"/>
        <v>59.333333333333336</v>
      </c>
      <c r="R91" s="24">
        <f t="shared" si="140"/>
        <v>37.333333333333336</v>
      </c>
      <c r="S91" s="25">
        <f t="shared" si="146"/>
        <v>22</v>
      </c>
    </row>
    <row r="92" spans="1:19" ht="13.5" customHeight="1" x14ac:dyDescent="0.2">
      <c r="J92" s="83" t="str">
        <f>J79</f>
        <v>無職(n = 263 )　　</v>
      </c>
      <c r="K92" s="89">
        <f>L80</f>
        <v>2.6615969581749046</v>
      </c>
      <c r="L92" s="90">
        <f t="shared" ref="L92:O92" si="151">M80</f>
        <v>41.444866920152087</v>
      </c>
      <c r="M92" s="89">
        <f t="shared" si="151"/>
        <v>34.600760456273768</v>
      </c>
      <c r="N92" s="90">
        <f t="shared" si="151"/>
        <v>11.787072243346007</v>
      </c>
      <c r="O92" s="90">
        <f t="shared" si="151"/>
        <v>7.2243346007604554</v>
      </c>
      <c r="P92" s="91">
        <f t="shared" ref="P92" si="152">Q80</f>
        <v>2.2813688212927756</v>
      </c>
      <c r="Q92" s="24">
        <f t="shared" ref="Q92:Q93" si="153">K92+L92</f>
        <v>44.106463878326991</v>
      </c>
      <c r="R92" s="24">
        <f t="shared" si="140"/>
        <v>46.387832699619779</v>
      </c>
      <c r="S92" s="25">
        <f t="shared" ref="S92:S93" si="154">Q92-R92</f>
        <v>-2.2813688212927872</v>
      </c>
    </row>
    <row r="93" spans="1:19" ht="13.5" customHeight="1" x14ac:dyDescent="0.2">
      <c r="J93" s="69" t="str">
        <f>J81</f>
        <v>その他(n = 74 )　　</v>
      </c>
      <c r="K93" s="79">
        <f>L82</f>
        <v>13.5</v>
      </c>
      <c r="L93" s="80">
        <f t="shared" ref="L93:O93" si="155">M82</f>
        <v>48.6</v>
      </c>
      <c r="M93" s="79">
        <f t="shared" si="155"/>
        <v>29.7</v>
      </c>
      <c r="N93" s="80">
        <f t="shared" si="155"/>
        <v>5.4</v>
      </c>
      <c r="O93" s="80">
        <f t="shared" si="155"/>
        <v>1.4</v>
      </c>
      <c r="P93" s="81">
        <f t="shared" ref="P93" si="156">Q82</f>
        <v>1.4</v>
      </c>
      <c r="Q93" s="24">
        <f t="shared" si="153"/>
        <v>62.1</v>
      </c>
      <c r="R93" s="24">
        <f t="shared" si="140"/>
        <v>35.1</v>
      </c>
      <c r="S93" s="25">
        <f t="shared" si="154"/>
        <v>27</v>
      </c>
    </row>
    <row r="94" spans="1:19" x14ac:dyDescent="0.2">
      <c r="S94" s="50"/>
    </row>
    <row r="95" spans="1:19" x14ac:dyDescent="0.2">
      <c r="S95" s="50"/>
    </row>
    <row r="96" spans="1:19" x14ac:dyDescent="0.2">
      <c r="S96" s="50"/>
    </row>
    <row r="97" spans="19:19" x14ac:dyDescent="0.2">
      <c r="S97" s="50"/>
    </row>
    <row r="98" spans="19:19" x14ac:dyDescent="0.2">
      <c r="S98" s="50"/>
    </row>
    <row r="99" spans="19:19" x14ac:dyDescent="0.2">
      <c r="S99" s="50"/>
    </row>
    <row r="100" spans="19:19" x14ac:dyDescent="0.2">
      <c r="S100" s="50"/>
    </row>
    <row r="101" spans="19:19" x14ac:dyDescent="0.2">
      <c r="S101" s="50"/>
    </row>
    <row r="102" spans="19:19" x14ac:dyDescent="0.2">
      <c r="S102" s="50"/>
    </row>
    <row r="103" spans="19:19" x14ac:dyDescent="0.2">
      <c r="S103" s="50"/>
    </row>
    <row r="104" spans="19:19" x14ac:dyDescent="0.2">
      <c r="S104" s="50"/>
    </row>
    <row r="105" spans="19:19" x14ac:dyDescent="0.2">
      <c r="S105" s="50"/>
    </row>
    <row r="106" spans="19:19" x14ac:dyDescent="0.2">
      <c r="S106" s="50"/>
    </row>
    <row r="107" spans="19:19" x14ac:dyDescent="0.2">
      <c r="S107" s="50"/>
    </row>
    <row r="108" spans="19:19" x14ac:dyDescent="0.2">
      <c r="S108" s="50"/>
    </row>
    <row r="109" spans="19:19" x14ac:dyDescent="0.2">
      <c r="S109" s="50"/>
    </row>
    <row r="110" spans="19:19" x14ac:dyDescent="0.2">
      <c r="S110" s="50"/>
    </row>
    <row r="111" spans="19:19" x14ac:dyDescent="0.2">
      <c r="S111" s="50"/>
    </row>
    <row r="112" spans="19:19" x14ac:dyDescent="0.2">
      <c r="S112" s="50"/>
    </row>
    <row r="113" spans="19:19" x14ac:dyDescent="0.2">
      <c r="S113" s="50"/>
    </row>
    <row r="114" spans="19:19" x14ac:dyDescent="0.2">
      <c r="S114" s="50"/>
    </row>
    <row r="115" spans="19:19" x14ac:dyDescent="0.2">
      <c r="S115" s="50"/>
    </row>
    <row r="116" spans="19:19" x14ac:dyDescent="0.2">
      <c r="S116" s="50"/>
    </row>
    <row r="117" spans="19:19" x14ac:dyDescent="0.2">
      <c r="S117" s="50"/>
    </row>
    <row r="118" spans="19:19" x14ac:dyDescent="0.2">
      <c r="S118" s="50"/>
    </row>
    <row r="119" spans="19:19" x14ac:dyDescent="0.2">
      <c r="S119" s="50"/>
    </row>
    <row r="120" spans="19:19" x14ac:dyDescent="0.2">
      <c r="S120" s="50"/>
    </row>
    <row r="121" spans="19:19" x14ac:dyDescent="0.2">
      <c r="S121" s="50"/>
    </row>
    <row r="122" spans="19:19" x14ac:dyDescent="0.2">
      <c r="S122" s="50"/>
    </row>
    <row r="123" spans="19:19" x14ac:dyDescent="0.2">
      <c r="S123" s="50"/>
    </row>
    <row r="124" spans="19:19" x14ac:dyDescent="0.2">
      <c r="S124" s="50"/>
    </row>
    <row r="125" spans="19:19" x14ac:dyDescent="0.2">
      <c r="S125" s="50"/>
    </row>
    <row r="126" spans="19:19" x14ac:dyDescent="0.2">
      <c r="S126" s="50"/>
    </row>
    <row r="127" spans="19:19" x14ac:dyDescent="0.2">
      <c r="S127" s="50"/>
    </row>
    <row r="128" spans="19:19" x14ac:dyDescent="0.2">
      <c r="S128" s="50"/>
    </row>
    <row r="129" spans="19:19" x14ac:dyDescent="0.2">
      <c r="S129" s="50"/>
    </row>
    <row r="130" spans="19:19" x14ac:dyDescent="0.2">
      <c r="S130" s="50"/>
    </row>
    <row r="131" spans="19:19" x14ac:dyDescent="0.2">
      <c r="S131" s="50"/>
    </row>
    <row r="132" spans="19:19" x14ac:dyDescent="0.2">
      <c r="S132" s="50"/>
    </row>
    <row r="133" spans="19:19" x14ac:dyDescent="0.2">
      <c r="S133" s="50"/>
    </row>
    <row r="134" spans="19:19" x14ac:dyDescent="0.2">
      <c r="S134" s="50"/>
    </row>
    <row r="135" spans="19:19" x14ac:dyDescent="0.2">
      <c r="S135" s="50"/>
    </row>
    <row r="136" spans="19:19" x14ac:dyDescent="0.2">
      <c r="S136" s="50"/>
    </row>
    <row r="137" spans="19:19" x14ac:dyDescent="0.2">
      <c r="S137" s="50"/>
    </row>
    <row r="138" spans="19:19" x14ac:dyDescent="0.2">
      <c r="S138" s="50"/>
    </row>
    <row r="139" spans="19:19" x14ac:dyDescent="0.2">
      <c r="S139" s="50"/>
    </row>
    <row r="140" spans="19:19" x14ac:dyDescent="0.2">
      <c r="S140" s="50"/>
    </row>
    <row r="141" spans="19:19" x14ac:dyDescent="0.2">
      <c r="S141" s="50"/>
    </row>
    <row r="142" spans="19:19" x14ac:dyDescent="0.2">
      <c r="S142" s="50"/>
    </row>
    <row r="143" spans="19:19" x14ac:dyDescent="0.2">
      <c r="S143" s="50"/>
    </row>
    <row r="144" spans="19:19" x14ac:dyDescent="0.2">
      <c r="S144" s="50"/>
    </row>
    <row r="145" spans="19:19" x14ac:dyDescent="0.2">
      <c r="S145" s="50"/>
    </row>
    <row r="146" spans="19:19" x14ac:dyDescent="0.2">
      <c r="S146" s="50"/>
    </row>
    <row r="147" spans="19:19" x14ac:dyDescent="0.2">
      <c r="S147" s="50"/>
    </row>
    <row r="148" spans="19:19" x14ac:dyDescent="0.2">
      <c r="S148" s="50"/>
    </row>
    <row r="149" spans="19:19" x14ac:dyDescent="0.2">
      <c r="S149" s="50"/>
    </row>
    <row r="150" spans="19:19" x14ac:dyDescent="0.2">
      <c r="S150" s="50"/>
    </row>
    <row r="151" spans="19:19" x14ac:dyDescent="0.2">
      <c r="S151" s="50"/>
    </row>
    <row r="152" spans="19:19" x14ac:dyDescent="0.2">
      <c r="S152" s="50"/>
    </row>
    <row r="153" spans="19:19" x14ac:dyDescent="0.2">
      <c r="S153" s="50"/>
    </row>
    <row r="154" spans="19:19" x14ac:dyDescent="0.2">
      <c r="S154" s="50"/>
    </row>
    <row r="155" spans="19:19" x14ac:dyDescent="0.2">
      <c r="S155" s="50"/>
    </row>
    <row r="156" spans="19:19" x14ac:dyDescent="0.2">
      <c r="S156" s="50"/>
    </row>
    <row r="157" spans="19:19" x14ac:dyDescent="0.2">
      <c r="S157" s="50"/>
    </row>
    <row r="158" spans="19:19" x14ac:dyDescent="0.2">
      <c r="S158" s="50"/>
    </row>
    <row r="159" spans="19:19" x14ac:dyDescent="0.2">
      <c r="S159" s="50"/>
    </row>
    <row r="160" spans="19:19" x14ac:dyDescent="0.2">
      <c r="S160" s="50"/>
    </row>
    <row r="161" spans="19:19" x14ac:dyDescent="0.2">
      <c r="S161" s="50"/>
    </row>
    <row r="162" spans="19:19" x14ac:dyDescent="0.2">
      <c r="S162" s="50"/>
    </row>
    <row r="163" spans="19:19" x14ac:dyDescent="0.2">
      <c r="S163" s="50"/>
    </row>
    <row r="164" spans="19:19" x14ac:dyDescent="0.2">
      <c r="S164" s="50"/>
    </row>
    <row r="165" spans="19:19" x14ac:dyDescent="0.2">
      <c r="S165" s="50"/>
    </row>
    <row r="166" spans="19:19" x14ac:dyDescent="0.2">
      <c r="S166" s="50"/>
    </row>
    <row r="167" spans="19:19" x14ac:dyDescent="0.2">
      <c r="S167" s="50"/>
    </row>
    <row r="168" spans="19:19" x14ac:dyDescent="0.2">
      <c r="S168" s="50"/>
    </row>
    <row r="169" spans="19:19" x14ac:dyDescent="0.2">
      <c r="S169" s="50"/>
    </row>
    <row r="170" spans="19:19" x14ac:dyDescent="0.2">
      <c r="S170" s="50"/>
    </row>
    <row r="171" spans="19:19" x14ac:dyDescent="0.2">
      <c r="S171" s="50"/>
    </row>
    <row r="172" spans="19:19" x14ac:dyDescent="0.2">
      <c r="S172" s="50"/>
    </row>
    <row r="173" spans="19:19" x14ac:dyDescent="0.2">
      <c r="S173" s="50"/>
    </row>
    <row r="174" spans="19:19" x14ac:dyDescent="0.2">
      <c r="S174" s="50"/>
    </row>
    <row r="175" spans="19:19" x14ac:dyDescent="0.2">
      <c r="S175" s="50"/>
    </row>
  </sheetData>
  <mergeCells count="36">
    <mergeCell ref="A39:A40"/>
    <mergeCell ref="A24:A25"/>
    <mergeCell ref="A26:A27"/>
    <mergeCell ref="A28:A29"/>
    <mergeCell ref="A33:A34"/>
    <mergeCell ref="A37:A38"/>
    <mergeCell ref="A35:A36"/>
    <mergeCell ref="J67:J68"/>
    <mergeCell ref="A41:A42"/>
    <mergeCell ref="A43:A44"/>
    <mergeCell ref="A45:A46"/>
    <mergeCell ref="A47:A48"/>
    <mergeCell ref="A52:A53"/>
    <mergeCell ref="A54:A55"/>
    <mergeCell ref="A56:A57"/>
    <mergeCell ref="A58:A59"/>
    <mergeCell ref="A60:A61"/>
    <mergeCell ref="A62:A63"/>
    <mergeCell ref="A67:A68"/>
    <mergeCell ref="A75:A76"/>
    <mergeCell ref="J75:J76"/>
    <mergeCell ref="A77:A78"/>
    <mergeCell ref="J77:J78"/>
    <mergeCell ref="A79:A80"/>
    <mergeCell ref="J79:J80"/>
    <mergeCell ref="A69:A70"/>
    <mergeCell ref="J69:J70"/>
    <mergeCell ref="A71:A72"/>
    <mergeCell ref="J71:J72"/>
    <mergeCell ref="A73:A74"/>
    <mergeCell ref="J73:J74"/>
    <mergeCell ref="A81:A82"/>
    <mergeCell ref="J81:J82"/>
    <mergeCell ref="A83:A84"/>
    <mergeCell ref="J83:J84"/>
    <mergeCell ref="A85:A8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E192"/>
  <sheetViews>
    <sheetView zoomScaleNormal="100" workbookViewId="0"/>
  </sheetViews>
  <sheetFormatPr defaultRowHeight="13.2" x14ac:dyDescent="0.2"/>
  <cols>
    <col min="17" max="17" width="9" customWidth="1"/>
  </cols>
  <sheetData>
    <row r="1" spans="1:31" x14ac:dyDescent="0.2">
      <c r="A1" s="3" t="s">
        <v>46</v>
      </c>
      <c r="B1" s="1" t="s">
        <v>152</v>
      </c>
      <c r="C1" s="8"/>
      <c r="D1" s="9"/>
      <c r="E1" s="8"/>
      <c r="F1" s="8"/>
      <c r="G1" s="8"/>
      <c r="H1" s="9"/>
      <c r="I1" s="8"/>
      <c r="J1" s="8"/>
      <c r="K1" s="8"/>
      <c r="L1" s="8"/>
      <c r="M1" s="8"/>
      <c r="N1" s="8"/>
      <c r="O1" s="8"/>
      <c r="P1" s="8"/>
    </row>
    <row r="2" spans="1:31" ht="86.4" x14ac:dyDescent="0.2">
      <c r="A2" s="12" t="s">
        <v>20</v>
      </c>
      <c r="B2" s="59" t="s">
        <v>3</v>
      </c>
      <c r="C2" s="60" t="s">
        <v>47</v>
      </c>
      <c r="D2" s="61" t="s">
        <v>48</v>
      </c>
      <c r="E2" s="61" t="s">
        <v>49</v>
      </c>
      <c r="F2" s="61" t="s">
        <v>50</v>
      </c>
      <c r="G2" s="61" t="s">
        <v>51</v>
      </c>
      <c r="H2" s="61" t="s">
        <v>52</v>
      </c>
      <c r="I2" s="61" t="s">
        <v>53</v>
      </c>
      <c r="J2" s="61" t="s">
        <v>54</v>
      </c>
      <c r="K2" s="61" t="s">
        <v>55</v>
      </c>
      <c r="L2" s="61" t="s">
        <v>56</v>
      </c>
      <c r="M2" s="61" t="s">
        <v>196</v>
      </c>
      <c r="N2" s="62" t="s">
        <v>57</v>
      </c>
      <c r="O2" s="62" t="s">
        <v>58</v>
      </c>
      <c r="P2" s="63"/>
      <c r="Q2" s="103" t="s">
        <v>118</v>
      </c>
    </row>
    <row r="3" spans="1:31" x14ac:dyDescent="0.2">
      <c r="A3" s="269" t="str">
        <f>'問2S（表）'!A24</f>
        <v>全体(n = 1,616 )　　</v>
      </c>
      <c r="B3" s="34">
        <f>'問2S（表）'!B24</f>
        <v>1616</v>
      </c>
      <c r="C3" s="31">
        <f t="shared" ref="C3:O3" si="0">SUM(C5,C7)</f>
        <v>1040</v>
      </c>
      <c r="D3" s="32">
        <f t="shared" si="0"/>
        <v>1043</v>
      </c>
      <c r="E3" s="32">
        <f t="shared" si="0"/>
        <v>454</v>
      </c>
      <c r="F3" s="32">
        <f t="shared" si="0"/>
        <v>42</v>
      </c>
      <c r="G3" s="32">
        <f t="shared" si="0"/>
        <v>68</v>
      </c>
      <c r="H3" s="32">
        <f t="shared" si="0"/>
        <v>264</v>
      </c>
      <c r="I3" s="32">
        <f t="shared" si="0"/>
        <v>400</v>
      </c>
      <c r="J3" s="32">
        <f t="shared" si="0"/>
        <v>111</v>
      </c>
      <c r="K3" s="32">
        <f t="shared" si="0"/>
        <v>112</v>
      </c>
      <c r="L3" s="32">
        <f t="shared" si="0"/>
        <v>140</v>
      </c>
      <c r="M3" s="32">
        <f t="shared" si="0"/>
        <v>195</v>
      </c>
      <c r="N3" s="32">
        <f t="shared" si="0"/>
        <v>76</v>
      </c>
      <c r="O3" s="32">
        <f t="shared" si="0"/>
        <v>63</v>
      </c>
      <c r="P3" s="33"/>
      <c r="Q3" s="104">
        <f>SUM($C3:P3)</f>
        <v>4008</v>
      </c>
      <c r="R3" s="166"/>
    </row>
    <row r="4" spans="1:31" x14ac:dyDescent="0.2">
      <c r="A4" s="270"/>
      <c r="B4" s="35">
        <v>100</v>
      </c>
      <c r="C4" s="20">
        <f t="shared" ref="C4:O4" si="1">C3/$B3*100</f>
        <v>64.356435643564353</v>
      </c>
      <c r="D4" s="207">
        <f t="shared" si="1"/>
        <v>64.542079207920793</v>
      </c>
      <c r="E4" s="207">
        <f t="shared" si="1"/>
        <v>28.094059405940598</v>
      </c>
      <c r="F4" s="207">
        <f t="shared" si="1"/>
        <v>2.5990099009900991</v>
      </c>
      <c r="G4" s="207">
        <f t="shared" si="1"/>
        <v>4.2079207920792081</v>
      </c>
      <c r="H4" s="207">
        <f t="shared" si="1"/>
        <v>16.336633663366339</v>
      </c>
      <c r="I4" s="207">
        <f t="shared" si="1"/>
        <v>24.752475247524753</v>
      </c>
      <c r="J4" s="207">
        <f t="shared" si="1"/>
        <v>6.8688118811881189</v>
      </c>
      <c r="K4" s="207">
        <f t="shared" si="1"/>
        <v>6.9306930693069315</v>
      </c>
      <c r="L4" s="207">
        <f t="shared" si="1"/>
        <v>8.6633663366336631</v>
      </c>
      <c r="M4" s="207">
        <f t="shared" si="1"/>
        <v>12.066831683168317</v>
      </c>
      <c r="N4" s="207">
        <f t="shared" si="1"/>
        <v>4.7029702970297027</v>
      </c>
      <c r="O4" s="207">
        <f t="shared" si="1"/>
        <v>3.8985148514851486</v>
      </c>
      <c r="P4" s="208"/>
      <c r="Q4" s="104"/>
    </row>
    <row r="5" spans="1:31" x14ac:dyDescent="0.2">
      <c r="A5" s="269" t="str">
        <f>'問2S（表）'!A26</f>
        <v>男性(n = 705 )　　</v>
      </c>
      <c r="B5" s="34">
        <f>'問2S（表）'!B26</f>
        <v>705</v>
      </c>
      <c r="C5" s="28">
        <v>460</v>
      </c>
      <c r="D5" s="29">
        <v>483</v>
      </c>
      <c r="E5" s="29">
        <v>214</v>
      </c>
      <c r="F5" s="29">
        <v>20</v>
      </c>
      <c r="G5" s="29">
        <v>33</v>
      </c>
      <c r="H5" s="29">
        <v>104</v>
      </c>
      <c r="I5" s="29">
        <v>160</v>
      </c>
      <c r="J5" s="29">
        <v>37</v>
      </c>
      <c r="K5" s="29">
        <v>50</v>
      </c>
      <c r="L5" s="29">
        <v>59</v>
      </c>
      <c r="M5" s="29">
        <v>77</v>
      </c>
      <c r="N5" s="29">
        <v>27</v>
      </c>
      <c r="O5" s="29">
        <v>29</v>
      </c>
      <c r="P5" s="30"/>
      <c r="Q5" s="104">
        <f>SUM($C5:P5)</f>
        <v>1753</v>
      </c>
      <c r="R5" s="92" t="str">
        <f>" 男性（N = "&amp;$Q$6&amp;" : n = "&amp;$B$5&amp;"）"</f>
        <v xml:space="preserve"> 男性（N = 1,753 : n = 705）</v>
      </c>
    </row>
    <row r="6" spans="1:31" x14ac:dyDescent="0.2">
      <c r="A6" s="270"/>
      <c r="B6" s="20">
        <f>B5/$B$3*100</f>
        <v>43.626237623762378</v>
      </c>
      <c r="C6" s="20">
        <f>C5/$B5*100</f>
        <v>65.248226950354621</v>
      </c>
      <c r="D6" s="207">
        <f t="shared" ref="D6:O6" si="2">D5/$B5*100</f>
        <v>68.510638297872333</v>
      </c>
      <c r="E6" s="207">
        <f t="shared" si="2"/>
        <v>30.354609929078013</v>
      </c>
      <c r="F6" s="207">
        <f>F5/$B5*100</f>
        <v>2.8368794326241136</v>
      </c>
      <c r="G6" s="207">
        <f t="shared" si="2"/>
        <v>4.6808510638297873</v>
      </c>
      <c r="H6" s="207">
        <f t="shared" si="2"/>
        <v>14.75177304964539</v>
      </c>
      <c r="I6" s="207">
        <f t="shared" si="2"/>
        <v>22.695035460992909</v>
      </c>
      <c r="J6" s="207">
        <f t="shared" si="2"/>
        <v>5.24822695035461</v>
      </c>
      <c r="K6" s="207">
        <f t="shared" si="2"/>
        <v>7.0921985815602842</v>
      </c>
      <c r="L6" s="207">
        <f t="shared" si="2"/>
        <v>8.3687943262411348</v>
      </c>
      <c r="M6" s="207">
        <f t="shared" si="2"/>
        <v>10.921985815602838</v>
      </c>
      <c r="N6" s="207">
        <f t="shared" si="2"/>
        <v>3.8297872340425529</v>
      </c>
      <c r="O6" s="207">
        <f t="shared" si="2"/>
        <v>4.1134751773049638</v>
      </c>
      <c r="P6" s="208"/>
      <c r="Q6" s="204" t="s">
        <v>255</v>
      </c>
    </row>
    <row r="7" spans="1:31" x14ac:dyDescent="0.2">
      <c r="A7" s="269" t="str">
        <f>'問2S（表）'!A28</f>
        <v>女性(n = 901 )　　</v>
      </c>
      <c r="B7" s="34">
        <f>'問2S（表）'!B28</f>
        <v>901</v>
      </c>
      <c r="C7" s="28">
        <v>580</v>
      </c>
      <c r="D7" s="29">
        <v>560</v>
      </c>
      <c r="E7" s="29">
        <v>240</v>
      </c>
      <c r="F7" s="29">
        <v>22</v>
      </c>
      <c r="G7" s="29">
        <v>35</v>
      </c>
      <c r="H7" s="29">
        <v>160</v>
      </c>
      <c r="I7" s="29">
        <v>240</v>
      </c>
      <c r="J7" s="29">
        <v>74</v>
      </c>
      <c r="K7" s="29">
        <v>62</v>
      </c>
      <c r="L7" s="29">
        <v>81</v>
      </c>
      <c r="M7" s="29">
        <v>118</v>
      </c>
      <c r="N7" s="29">
        <v>49</v>
      </c>
      <c r="O7" s="29">
        <v>34</v>
      </c>
      <c r="P7" s="30"/>
      <c r="Q7" s="104">
        <f>SUM($C7:P7)</f>
        <v>2255</v>
      </c>
      <c r="R7" s="92" t="str">
        <f>" 女性（N = "&amp;$Q$8&amp;" : n = "&amp;$B$7&amp;"）"</f>
        <v xml:space="preserve"> 女性（N = 2,255 : n = 901）</v>
      </c>
    </row>
    <row r="8" spans="1:31" x14ac:dyDescent="0.2">
      <c r="A8" s="270"/>
      <c r="B8" s="20">
        <f>B7/$B$3*100</f>
        <v>55.754950495049506</v>
      </c>
      <c r="C8" s="20">
        <f t="shared" ref="C8:O8" si="3">C7/$B7*100</f>
        <v>64.372918978912324</v>
      </c>
      <c r="D8" s="207">
        <f t="shared" si="3"/>
        <v>62.153163152053267</v>
      </c>
      <c r="E8" s="207">
        <f t="shared" si="3"/>
        <v>26.637069922308548</v>
      </c>
      <c r="F8" s="207">
        <f t="shared" si="3"/>
        <v>2.4417314095449503</v>
      </c>
      <c r="G8" s="207">
        <f t="shared" si="3"/>
        <v>3.8845726970033292</v>
      </c>
      <c r="H8" s="207">
        <f t="shared" si="3"/>
        <v>17.758046614872363</v>
      </c>
      <c r="I8" s="207">
        <f t="shared" si="3"/>
        <v>26.637069922308548</v>
      </c>
      <c r="J8" s="207">
        <f t="shared" si="3"/>
        <v>8.2130965593784691</v>
      </c>
      <c r="K8" s="207">
        <f t="shared" si="3"/>
        <v>6.8812430632630415</v>
      </c>
      <c r="L8" s="207">
        <f t="shared" si="3"/>
        <v>8.9900110987791333</v>
      </c>
      <c r="M8" s="207">
        <f t="shared" si="3"/>
        <v>13.09655937846837</v>
      </c>
      <c r="N8" s="207">
        <f t="shared" si="3"/>
        <v>5.4384017758046621</v>
      </c>
      <c r="O8" s="207">
        <f t="shared" si="3"/>
        <v>3.7735849056603774</v>
      </c>
      <c r="P8" s="208"/>
      <c r="Q8" s="204" t="s">
        <v>256</v>
      </c>
    </row>
    <row r="9" spans="1:31" s="183" customFormat="1" x14ac:dyDescent="0.2">
      <c r="A9" s="181"/>
      <c r="B9" s="182"/>
      <c r="C9" s="172">
        <f>_xlfn.RANK.EQ(C4,$C$4:$P$4,0)</f>
        <v>2</v>
      </c>
      <c r="D9" s="172">
        <f t="shared" ref="D9:P9" si="4">_xlfn.RANK.EQ(D4,$C$4:$P$4,0)</f>
        <v>1</v>
      </c>
      <c r="E9" s="172">
        <f t="shared" si="4"/>
        <v>3</v>
      </c>
      <c r="F9" s="172">
        <f t="shared" si="4"/>
        <v>13</v>
      </c>
      <c r="G9" s="172">
        <f t="shared" si="4"/>
        <v>11</v>
      </c>
      <c r="H9" s="172">
        <f t="shared" si="4"/>
        <v>5</v>
      </c>
      <c r="I9" s="172">
        <f t="shared" si="4"/>
        <v>4</v>
      </c>
      <c r="J9" s="172">
        <f t="shared" si="4"/>
        <v>9</v>
      </c>
      <c r="K9" s="172">
        <f t="shared" si="4"/>
        <v>8</v>
      </c>
      <c r="L9" s="172">
        <f t="shared" si="4"/>
        <v>7</v>
      </c>
      <c r="M9" s="172">
        <f t="shared" si="4"/>
        <v>6</v>
      </c>
      <c r="N9" s="172">
        <f t="shared" si="4"/>
        <v>10</v>
      </c>
      <c r="O9" s="172">
        <f t="shared" si="4"/>
        <v>12</v>
      </c>
      <c r="P9" s="172" t="e">
        <f t="shared" si="4"/>
        <v>#N/A</v>
      </c>
    </row>
    <row r="10" spans="1:31" x14ac:dyDescent="0.2">
      <c r="A10" s="181" t="s">
        <v>197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f>_xlfn.RANK.EQ(C14,$C$14:$M$14,0)</f>
        <v>1</v>
      </c>
      <c r="D11" s="27">
        <f t="shared" ref="D11:M11" si="5">_xlfn.RANK.EQ(D14,$C$14:$M$14,0)</f>
        <v>2</v>
      </c>
      <c r="E11" s="27">
        <f t="shared" si="5"/>
        <v>3</v>
      </c>
      <c r="F11" s="27">
        <f t="shared" si="5"/>
        <v>4</v>
      </c>
      <c r="G11" s="27">
        <f t="shared" si="5"/>
        <v>5</v>
      </c>
      <c r="H11" s="27">
        <f t="shared" si="5"/>
        <v>6</v>
      </c>
      <c r="I11" s="27">
        <f t="shared" si="5"/>
        <v>7</v>
      </c>
      <c r="J11" s="27">
        <f t="shared" si="5"/>
        <v>8</v>
      </c>
      <c r="K11" s="27">
        <f t="shared" si="5"/>
        <v>9</v>
      </c>
      <c r="L11" s="27">
        <f t="shared" si="5"/>
        <v>10</v>
      </c>
      <c r="M11" s="27">
        <f t="shared" si="5"/>
        <v>11</v>
      </c>
      <c r="N11" s="27">
        <v>12</v>
      </c>
      <c r="O11" s="27">
        <v>13</v>
      </c>
      <c r="P11" s="27">
        <v>14</v>
      </c>
      <c r="R11" s="45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59" t="str">
        <f>B2</f>
        <v>調査数</v>
      </c>
      <c r="C12" s="60" t="s">
        <v>48</v>
      </c>
      <c r="D12" s="61" t="s">
        <v>47</v>
      </c>
      <c r="E12" s="61" t="s">
        <v>49</v>
      </c>
      <c r="F12" s="61" t="s">
        <v>53</v>
      </c>
      <c r="G12" s="61" t="s">
        <v>52</v>
      </c>
      <c r="H12" s="61" t="s">
        <v>207</v>
      </c>
      <c r="I12" s="61" t="s">
        <v>56</v>
      </c>
      <c r="J12" s="61" t="s">
        <v>55</v>
      </c>
      <c r="K12" s="61" t="s">
        <v>54</v>
      </c>
      <c r="L12" s="62" t="s">
        <v>51</v>
      </c>
      <c r="M12" s="61" t="s">
        <v>50</v>
      </c>
      <c r="N12" s="62" t="s">
        <v>57</v>
      </c>
      <c r="O12" s="61" t="s">
        <v>58</v>
      </c>
      <c r="P12" s="63"/>
      <c r="Q12" s="44" t="s">
        <v>32</v>
      </c>
      <c r="R12" s="12" t="str">
        <f>A12</f>
        <v>【性別】</v>
      </c>
      <c r="S12" s="60" t="str">
        <f>C12</f>
        <v>収入・貯蓄</v>
      </c>
      <c r="T12" s="61" t="str">
        <f t="shared" ref="T12:AE12" si="6">D12</f>
        <v>健康・体力</v>
      </c>
      <c r="U12" s="61" t="str">
        <f t="shared" si="6"/>
        <v>仕事</v>
      </c>
      <c r="V12" s="61" t="str">
        <f t="shared" si="6"/>
        <v>介護</v>
      </c>
      <c r="W12" s="61" t="str">
        <f t="shared" si="6"/>
        <v>子育て・子どもの教育</v>
      </c>
      <c r="X12" s="61" t="str">
        <f t="shared" si="6"/>
        <v>地域の住環境（上下水道、公園、
        道路、公共交通機関など）</v>
      </c>
      <c r="Y12" s="61" t="str">
        <f t="shared" si="6"/>
        <v>住宅</v>
      </c>
      <c r="Z12" s="61" t="str">
        <f t="shared" si="6"/>
        <v>地域での人間関係</v>
      </c>
      <c r="AA12" s="61" t="str">
        <f t="shared" si="6"/>
        <v>家庭での人間関係</v>
      </c>
      <c r="AB12" s="61" t="str">
        <f t="shared" si="6"/>
        <v>結婚</v>
      </c>
      <c r="AC12" s="61" t="str">
        <f t="shared" si="6"/>
        <v>就職</v>
      </c>
      <c r="AD12" s="62" t="str">
        <f t="shared" si="6"/>
        <v>その他</v>
      </c>
      <c r="AE12" s="63" t="str">
        <f t="shared" si="6"/>
        <v>特にない</v>
      </c>
    </row>
    <row r="13" spans="1:31" ht="12.75" customHeight="1" x14ac:dyDescent="0.2">
      <c r="A13" s="269" t="str">
        <f>A3</f>
        <v>全体(n = 1,616 )　　</v>
      </c>
      <c r="B13" s="113">
        <f>B3</f>
        <v>1616</v>
      </c>
      <c r="C13" s="121">
        <v>1043</v>
      </c>
      <c r="D13" s="122">
        <v>1040</v>
      </c>
      <c r="E13" s="122">
        <v>454</v>
      </c>
      <c r="F13" s="122">
        <v>400</v>
      </c>
      <c r="G13" s="122">
        <v>264</v>
      </c>
      <c r="H13" s="122">
        <v>195</v>
      </c>
      <c r="I13" s="122">
        <v>140</v>
      </c>
      <c r="J13" s="122">
        <v>112</v>
      </c>
      <c r="K13" s="122">
        <v>111</v>
      </c>
      <c r="L13" s="122">
        <v>68</v>
      </c>
      <c r="M13" s="123">
        <v>42</v>
      </c>
      <c r="N13" s="122">
        <v>76</v>
      </c>
      <c r="O13" s="123">
        <v>63</v>
      </c>
      <c r="P13" s="124"/>
      <c r="R13" s="93" t="str">
        <f>A15</f>
        <v>男性(n = 705 )　　</v>
      </c>
      <c r="S13" s="74">
        <f>C16</f>
        <v>68.510638297872333</v>
      </c>
      <c r="T13" s="75">
        <f t="shared" ref="T13:AE13" si="7">D16</f>
        <v>65.248226950354621</v>
      </c>
      <c r="U13" s="75">
        <f t="shared" si="7"/>
        <v>30.354609929078013</v>
      </c>
      <c r="V13" s="75">
        <f t="shared" si="7"/>
        <v>22.695035460992909</v>
      </c>
      <c r="W13" s="75">
        <f t="shared" si="7"/>
        <v>14.75177304964539</v>
      </c>
      <c r="X13" s="75">
        <f t="shared" si="7"/>
        <v>10.921985815602838</v>
      </c>
      <c r="Y13" s="75">
        <f t="shared" si="7"/>
        <v>8.3687943262411348</v>
      </c>
      <c r="Z13" s="75">
        <f t="shared" si="7"/>
        <v>7.0921985815602842</v>
      </c>
      <c r="AA13" s="75">
        <f t="shared" si="7"/>
        <v>5.24822695035461</v>
      </c>
      <c r="AB13" s="75">
        <f t="shared" si="7"/>
        <v>4.6808510638297873</v>
      </c>
      <c r="AC13" s="75">
        <f t="shared" si="7"/>
        <v>2.8368794326241136</v>
      </c>
      <c r="AD13" s="76">
        <f t="shared" si="7"/>
        <v>3.8297872340425529</v>
      </c>
      <c r="AE13" s="77">
        <f t="shared" si="7"/>
        <v>4.1134751773049638</v>
      </c>
    </row>
    <row r="14" spans="1:31" ht="12.75" customHeight="1" x14ac:dyDescent="0.2">
      <c r="A14" s="270"/>
      <c r="B14" s="114">
        <f t="shared" ref="B14:B18" si="8">B4</f>
        <v>100</v>
      </c>
      <c r="C14" s="125">
        <v>64.542079207920793</v>
      </c>
      <c r="D14" s="126">
        <v>64.356435643564353</v>
      </c>
      <c r="E14" s="126">
        <v>28.094059405940598</v>
      </c>
      <c r="F14" s="126">
        <v>24.752475247524753</v>
      </c>
      <c r="G14" s="126">
        <v>16.336633663366339</v>
      </c>
      <c r="H14" s="126">
        <v>12.066831683168317</v>
      </c>
      <c r="I14" s="126">
        <v>8.6633663366336631</v>
      </c>
      <c r="J14" s="126">
        <v>6.9306930693069315</v>
      </c>
      <c r="K14" s="126">
        <v>6.8688118811881189</v>
      </c>
      <c r="L14" s="126">
        <v>4.2079207920792081</v>
      </c>
      <c r="M14" s="127">
        <v>2.5990099009900991</v>
      </c>
      <c r="N14" s="126">
        <v>4.7029702970297027</v>
      </c>
      <c r="O14" s="127">
        <v>3.8985148514851486</v>
      </c>
      <c r="P14" s="128"/>
      <c r="R14" s="94" t="str">
        <f>A17</f>
        <v>女性(n = 901 )　　</v>
      </c>
      <c r="S14" s="78">
        <f>C18</f>
        <v>62.153163152053267</v>
      </c>
      <c r="T14" s="79">
        <f t="shared" ref="T14:AE14" si="9">D18</f>
        <v>64.372918978912324</v>
      </c>
      <c r="U14" s="79">
        <f t="shared" si="9"/>
        <v>26.637069922308548</v>
      </c>
      <c r="V14" s="79">
        <f t="shared" si="9"/>
        <v>26.637069922308548</v>
      </c>
      <c r="W14" s="79">
        <f t="shared" si="9"/>
        <v>17.758046614872363</v>
      </c>
      <c r="X14" s="79">
        <f t="shared" si="9"/>
        <v>13.09655937846837</v>
      </c>
      <c r="Y14" s="79">
        <f t="shared" si="9"/>
        <v>8.9900110987791333</v>
      </c>
      <c r="Z14" s="79">
        <f t="shared" si="9"/>
        <v>6.8812430632630415</v>
      </c>
      <c r="AA14" s="79">
        <f t="shared" si="9"/>
        <v>8.2130965593784691</v>
      </c>
      <c r="AB14" s="79">
        <f t="shared" si="9"/>
        <v>3.8845726970033292</v>
      </c>
      <c r="AC14" s="79">
        <f t="shared" si="9"/>
        <v>2.4417314095449503</v>
      </c>
      <c r="AD14" s="80">
        <f t="shared" si="9"/>
        <v>5.4384017758046621</v>
      </c>
      <c r="AE14" s="81">
        <f t="shared" si="9"/>
        <v>3.7735849056603774</v>
      </c>
    </row>
    <row r="15" spans="1:31" x14ac:dyDescent="0.2">
      <c r="A15" s="269" t="str">
        <f>A5</f>
        <v>男性(n = 705 )　　</v>
      </c>
      <c r="B15" s="113">
        <f t="shared" si="8"/>
        <v>705</v>
      </c>
      <c r="C15" s="129">
        <v>483</v>
      </c>
      <c r="D15" s="130">
        <v>460</v>
      </c>
      <c r="E15" s="130">
        <v>214</v>
      </c>
      <c r="F15" s="130">
        <v>160</v>
      </c>
      <c r="G15" s="130">
        <v>104</v>
      </c>
      <c r="H15" s="130">
        <v>77</v>
      </c>
      <c r="I15" s="130">
        <v>59</v>
      </c>
      <c r="J15" s="130">
        <v>50</v>
      </c>
      <c r="K15" s="130">
        <v>37</v>
      </c>
      <c r="L15" s="130">
        <v>33</v>
      </c>
      <c r="M15" s="140">
        <v>20</v>
      </c>
      <c r="N15" s="130">
        <v>27</v>
      </c>
      <c r="O15" s="130">
        <v>29</v>
      </c>
      <c r="P15" s="131"/>
      <c r="S15" s="25">
        <f>S13-S14</f>
        <v>6.3574751458190661</v>
      </c>
      <c r="T15" s="25">
        <f t="shared" ref="T15:AE15" si="10">T13-T14</f>
        <v>0.87530797144229666</v>
      </c>
      <c r="U15" s="25">
        <f t="shared" si="10"/>
        <v>3.7175400067694646</v>
      </c>
      <c r="V15" s="25">
        <f t="shared" si="10"/>
        <v>-3.9420344613156395</v>
      </c>
      <c r="W15" s="25">
        <f t="shared" si="10"/>
        <v>-3.006273565226973</v>
      </c>
      <c r="X15" s="25">
        <f t="shared" si="10"/>
        <v>-2.1745735628655325</v>
      </c>
      <c r="Y15" s="25">
        <f t="shared" si="10"/>
        <v>-0.62121677253799845</v>
      </c>
      <c r="Z15" s="25">
        <f t="shared" si="10"/>
        <v>0.21095551829724268</v>
      </c>
      <c r="AA15" s="25">
        <f t="shared" si="10"/>
        <v>-2.9648696090238591</v>
      </c>
      <c r="AB15" s="25">
        <f t="shared" si="10"/>
        <v>0.79627836682645814</v>
      </c>
      <c r="AC15" s="25">
        <f t="shared" si="10"/>
        <v>0.3951480230791633</v>
      </c>
      <c r="AD15" s="25">
        <f t="shared" si="10"/>
        <v>-1.6086145417621092</v>
      </c>
      <c r="AE15" s="25">
        <f t="shared" si="10"/>
        <v>0.33989027164458641</v>
      </c>
    </row>
    <row r="16" spans="1:31" x14ac:dyDescent="0.2">
      <c r="A16" s="270"/>
      <c r="B16" s="114">
        <f t="shared" si="8"/>
        <v>43.626237623762378</v>
      </c>
      <c r="C16" s="125">
        <v>68.510638297872333</v>
      </c>
      <c r="D16" s="126">
        <v>65.248226950354621</v>
      </c>
      <c r="E16" s="126">
        <v>30.354609929078013</v>
      </c>
      <c r="F16" s="126">
        <v>22.695035460992909</v>
      </c>
      <c r="G16" s="126">
        <v>14.75177304964539</v>
      </c>
      <c r="H16" s="126">
        <v>10.921985815602838</v>
      </c>
      <c r="I16" s="126">
        <v>8.3687943262411348</v>
      </c>
      <c r="J16" s="126">
        <v>7.0921985815602842</v>
      </c>
      <c r="K16" s="126">
        <v>5.24822695035461</v>
      </c>
      <c r="L16" s="126">
        <v>4.6808510638297873</v>
      </c>
      <c r="M16" s="127">
        <v>2.8368794326241136</v>
      </c>
      <c r="N16" s="126">
        <v>3.8297872340425529</v>
      </c>
      <c r="O16" s="126">
        <v>4.1134751773049638</v>
      </c>
      <c r="P16" s="128"/>
    </row>
    <row r="17" spans="1:18" x14ac:dyDescent="0.2">
      <c r="A17" s="269" t="str">
        <f>A7</f>
        <v>女性(n = 901 )　　</v>
      </c>
      <c r="B17" s="113">
        <f t="shared" si="8"/>
        <v>901</v>
      </c>
      <c r="C17" s="129">
        <v>560</v>
      </c>
      <c r="D17" s="130">
        <v>580</v>
      </c>
      <c r="E17" s="130">
        <v>240</v>
      </c>
      <c r="F17" s="130">
        <v>240</v>
      </c>
      <c r="G17" s="130">
        <v>160</v>
      </c>
      <c r="H17" s="130">
        <v>118</v>
      </c>
      <c r="I17" s="130">
        <v>81</v>
      </c>
      <c r="J17" s="130">
        <v>62</v>
      </c>
      <c r="K17" s="130">
        <v>74</v>
      </c>
      <c r="L17" s="130">
        <v>35</v>
      </c>
      <c r="M17" s="140">
        <v>22</v>
      </c>
      <c r="N17" s="130">
        <v>49</v>
      </c>
      <c r="O17" s="130">
        <v>34</v>
      </c>
      <c r="P17" s="131"/>
    </row>
    <row r="18" spans="1:18" x14ac:dyDescent="0.2">
      <c r="A18" s="270"/>
      <c r="B18" s="114">
        <f t="shared" si="8"/>
        <v>55.754950495049506</v>
      </c>
      <c r="C18" s="125">
        <v>62.153163152053267</v>
      </c>
      <c r="D18" s="126">
        <v>64.372918978912324</v>
      </c>
      <c r="E18" s="126">
        <v>26.637069922308548</v>
      </c>
      <c r="F18" s="126">
        <v>26.637069922308548</v>
      </c>
      <c r="G18" s="126">
        <v>17.758046614872363</v>
      </c>
      <c r="H18" s="126">
        <v>13.09655937846837</v>
      </c>
      <c r="I18" s="126">
        <v>8.9900110987791333</v>
      </c>
      <c r="J18" s="126">
        <v>6.8812430632630415</v>
      </c>
      <c r="K18" s="126">
        <v>8.2130965593784691</v>
      </c>
      <c r="L18" s="126">
        <v>3.8845726970033292</v>
      </c>
      <c r="M18" s="127">
        <v>2.4417314095449503</v>
      </c>
      <c r="N18" s="126">
        <v>5.4384017758046621</v>
      </c>
      <c r="O18" s="126">
        <v>3.7735849056603774</v>
      </c>
      <c r="P18" s="128"/>
    </row>
    <row r="20" spans="1:18" x14ac:dyDescent="0.2">
      <c r="A20" s="3" t="s">
        <v>160</v>
      </c>
      <c r="B20" s="1" t="str">
        <f>B1</f>
        <v>生活面での不安</v>
      </c>
      <c r="C20" s="8"/>
      <c r="D20" s="9" t="s">
        <v>198</v>
      </c>
      <c r="E20" s="8"/>
      <c r="F20" s="8"/>
      <c r="G20" s="8"/>
      <c r="H20" s="9" t="s">
        <v>198</v>
      </c>
      <c r="I20" s="8"/>
      <c r="J20" s="8"/>
      <c r="K20" s="8"/>
      <c r="L20" s="8"/>
      <c r="M20" s="8"/>
      <c r="N20" s="8"/>
      <c r="O20" s="8"/>
      <c r="P20" s="8"/>
    </row>
    <row r="21" spans="1:18" ht="86.4" x14ac:dyDescent="0.2">
      <c r="A21" s="12" t="s">
        <v>59</v>
      </c>
      <c r="B21" s="59" t="str">
        <f>B2</f>
        <v>調査数</v>
      </c>
      <c r="C21" s="60" t="str">
        <f t="shared" ref="C21:O21" si="11">C2</f>
        <v>健康・体力</v>
      </c>
      <c r="D21" s="61" t="str">
        <f t="shared" si="11"/>
        <v>収入・貯蓄</v>
      </c>
      <c r="E21" s="61" t="str">
        <f t="shared" si="11"/>
        <v>仕事</v>
      </c>
      <c r="F21" s="61" t="str">
        <f t="shared" si="11"/>
        <v>就職</v>
      </c>
      <c r="G21" s="61" t="str">
        <f t="shared" si="11"/>
        <v>結婚</v>
      </c>
      <c r="H21" s="61" t="str">
        <f t="shared" si="11"/>
        <v>子育て・子どもの教育</v>
      </c>
      <c r="I21" s="61" t="str">
        <f t="shared" si="11"/>
        <v>介護</v>
      </c>
      <c r="J21" s="61" t="str">
        <f t="shared" si="11"/>
        <v>家庭での人間関係</v>
      </c>
      <c r="K21" s="61" t="str">
        <f t="shared" si="11"/>
        <v>地域での人間関係</v>
      </c>
      <c r="L21" s="61" t="str">
        <f t="shared" si="11"/>
        <v>住宅</v>
      </c>
      <c r="M21" s="61" t="str">
        <f t="shared" si="11"/>
        <v>地域の住環境（上下水道、公園、
        道路、公共交通機関など）</v>
      </c>
      <c r="N21" s="61" t="str">
        <f t="shared" si="11"/>
        <v>その他</v>
      </c>
      <c r="O21" s="61" t="str">
        <f t="shared" si="11"/>
        <v>特にない</v>
      </c>
      <c r="P21" s="63"/>
      <c r="Q21" s="103" t="s">
        <v>118</v>
      </c>
      <c r="R21" s="202"/>
    </row>
    <row r="22" spans="1:18" x14ac:dyDescent="0.2">
      <c r="A22" s="269" t="str">
        <f>'問2S（表）'!A33</f>
        <v>全体(n = 1,616 )　　</v>
      </c>
      <c r="B22" s="34">
        <f>'問2S（表）'!B33</f>
        <v>1616</v>
      </c>
      <c r="C22" s="31">
        <f t="shared" ref="C22:O22" si="12">SUM(C24,C26,C28,C30,C32,C34,C36,)</f>
        <v>1037</v>
      </c>
      <c r="D22" s="32">
        <f t="shared" si="12"/>
        <v>1042</v>
      </c>
      <c r="E22" s="32">
        <f t="shared" si="12"/>
        <v>456</v>
      </c>
      <c r="F22" s="32">
        <f t="shared" si="12"/>
        <v>42</v>
      </c>
      <c r="G22" s="32">
        <f t="shared" si="12"/>
        <v>68</v>
      </c>
      <c r="H22" s="32">
        <f t="shared" si="12"/>
        <v>263</v>
      </c>
      <c r="I22" s="32">
        <f t="shared" si="12"/>
        <v>399</v>
      </c>
      <c r="J22" s="32">
        <f t="shared" si="12"/>
        <v>111</v>
      </c>
      <c r="K22" s="32">
        <f t="shared" si="12"/>
        <v>112</v>
      </c>
      <c r="L22" s="32">
        <f t="shared" si="12"/>
        <v>138</v>
      </c>
      <c r="M22" s="32">
        <f t="shared" si="12"/>
        <v>195</v>
      </c>
      <c r="N22" s="32">
        <f t="shared" si="12"/>
        <v>77</v>
      </c>
      <c r="O22" s="32">
        <f t="shared" si="12"/>
        <v>63</v>
      </c>
      <c r="P22" s="33"/>
      <c r="Q22" s="104">
        <f>SUM($C22:P22)</f>
        <v>4003</v>
      </c>
      <c r="R22" s="166"/>
    </row>
    <row r="23" spans="1:18" x14ac:dyDescent="0.2">
      <c r="A23" s="270"/>
      <c r="B23" s="35">
        <v>100</v>
      </c>
      <c r="C23" s="20">
        <f t="shared" ref="C23:O23" si="13">C22/$B22*100</f>
        <v>64.170792079207914</v>
      </c>
      <c r="D23" s="207">
        <f t="shared" si="13"/>
        <v>64.480198019801975</v>
      </c>
      <c r="E23" s="207">
        <f t="shared" si="13"/>
        <v>28.217821782178216</v>
      </c>
      <c r="F23" s="207">
        <f t="shared" si="13"/>
        <v>2.5990099009900991</v>
      </c>
      <c r="G23" s="207">
        <f t="shared" si="13"/>
        <v>4.2079207920792081</v>
      </c>
      <c r="H23" s="207">
        <f t="shared" si="13"/>
        <v>16.274752475247524</v>
      </c>
      <c r="I23" s="207">
        <f t="shared" si="13"/>
        <v>24.690594059405939</v>
      </c>
      <c r="J23" s="207">
        <f t="shared" si="13"/>
        <v>6.8688118811881189</v>
      </c>
      <c r="K23" s="207">
        <f t="shared" si="13"/>
        <v>6.9306930693069315</v>
      </c>
      <c r="L23" s="207">
        <f t="shared" si="13"/>
        <v>8.5396039603960396</v>
      </c>
      <c r="M23" s="207">
        <f t="shared" si="13"/>
        <v>12.066831683168317</v>
      </c>
      <c r="N23" s="207">
        <f t="shared" si="13"/>
        <v>4.7648514851485153</v>
      </c>
      <c r="O23" s="207">
        <f t="shared" si="13"/>
        <v>3.8985148514851486</v>
      </c>
      <c r="P23" s="208"/>
      <c r="Q23" s="104"/>
    </row>
    <row r="24" spans="1:18" ht="13.5" customHeight="1" x14ac:dyDescent="0.2">
      <c r="A24" s="269" t="str">
        <f>'問2S（表）'!A35</f>
        <v>18～19歳(n = 21 )　　</v>
      </c>
      <c r="B24" s="34">
        <f>'問2S（表）'!B35</f>
        <v>21</v>
      </c>
      <c r="C24" s="31">
        <v>6</v>
      </c>
      <c r="D24" s="32">
        <v>10</v>
      </c>
      <c r="E24" s="32">
        <v>1</v>
      </c>
      <c r="F24" s="32">
        <v>3</v>
      </c>
      <c r="G24" s="32">
        <v>2</v>
      </c>
      <c r="H24" s="32">
        <v>0</v>
      </c>
      <c r="I24" s="32">
        <v>2</v>
      </c>
      <c r="J24" s="32">
        <v>2</v>
      </c>
      <c r="K24" s="32">
        <v>0</v>
      </c>
      <c r="L24" s="32">
        <v>1</v>
      </c>
      <c r="M24" s="32">
        <v>4</v>
      </c>
      <c r="N24" s="32">
        <v>1</v>
      </c>
      <c r="O24" s="32">
        <v>7</v>
      </c>
      <c r="P24" s="33"/>
      <c r="Q24" s="104">
        <f>SUM(C24:P24)</f>
        <v>39</v>
      </c>
      <c r="R24" t="str">
        <f>" 18～19歳（N = "&amp;Q24&amp;" : n = "&amp;B24&amp;"）"</f>
        <v xml:space="preserve"> 18～19歳（N = 39 : n = 21）</v>
      </c>
    </row>
    <row r="25" spans="1:18" x14ac:dyDescent="0.2">
      <c r="A25" s="270"/>
      <c r="B25" s="20">
        <f>B24/$B$22*100</f>
        <v>1.2995049504950495</v>
      </c>
      <c r="C25" s="20">
        <f t="shared" ref="C25:O25" si="14">C24/$B24*100</f>
        <v>28.571428571428569</v>
      </c>
      <c r="D25" s="207">
        <f t="shared" si="14"/>
        <v>47.619047619047613</v>
      </c>
      <c r="E25" s="207">
        <f t="shared" si="14"/>
        <v>4.7619047619047619</v>
      </c>
      <c r="F25" s="207">
        <f t="shared" si="14"/>
        <v>14.285714285714285</v>
      </c>
      <c r="G25" s="207">
        <f t="shared" si="14"/>
        <v>9.5238095238095237</v>
      </c>
      <c r="H25" s="207">
        <f t="shared" si="14"/>
        <v>0</v>
      </c>
      <c r="I25" s="207">
        <f t="shared" si="14"/>
        <v>9.5238095238095237</v>
      </c>
      <c r="J25" s="207">
        <f t="shared" si="14"/>
        <v>9.5238095238095237</v>
      </c>
      <c r="K25" s="207">
        <f t="shared" si="14"/>
        <v>0</v>
      </c>
      <c r="L25" s="207">
        <f t="shared" si="14"/>
        <v>4.7619047619047619</v>
      </c>
      <c r="M25" s="207">
        <f t="shared" si="14"/>
        <v>19.047619047619047</v>
      </c>
      <c r="N25" s="207">
        <f t="shared" si="14"/>
        <v>4.7619047619047619</v>
      </c>
      <c r="O25" s="207">
        <f t="shared" si="14"/>
        <v>33.333333333333329</v>
      </c>
      <c r="P25" s="208"/>
      <c r="Q25" s="104"/>
    </row>
    <row r="26" spans="1:18" ht="13.5" customHeight="1" x14ac:dyDescent="0.2">
      <c r="A26" s="269" t="str">
        <f>'問2S（表）'!A37</f>
        <v>20～29歳(n = 119 )　　</v>
      </c>
      <c r="B26" s="34">
        <f>'問2S（表）'!B37</f>
        <v>119</v>
      </c>
      <c r="C26" s="31">
        <v>46</v>
      </c>
      <c r="D26" s="32">
        <v>94</v>
      </c>
      <c r="E26" s="32">
        <v>50</v>
      </c>
      <c r="F26" s="32">
        <v>21</v>
      </c>
      <c r="G26" s="32">
        <v>16</v>
      </c>
      <c r="H26" s="32">
        <v>18</v>
      </c>
      <c r="I26" s="32">
        <v>10</v>
      </c>
      <c r="J26" s="32">
        <v>4</v>
      </c>
      <c r="K26" s="32">
        <v>3</v>
      </c>
      <c r="L26" s="32">
        <v>7</v>
      </c>
      <c r="M26" s="32">
        <v>10</v>
      </c>
      <c r="N26" s="32">
        <v>2</v>
      </c>
      <c r="O26" s="32">
        <v>7</v>
      </c>
      <c r="P26" s="33"/>
      <c r="Q26" s="104">
        <f>SUM(C26:P26)</f>
        <v>288</v>
      </c>
      <c r="R26" t="str">
        <f>" 20～29歳（N = "&amp;Q26&amp;" : n = "&amp;B26&amp;"）"</f>
        <v xml:space="preserve"> 20～29歳（N = 288 : n = 119）</v>
      </c>
    </row>
    <row r="27" spans="1:18" x14ac:dyDescent="0.2">
      <c r="A27" s="270"/>
      <c r="B27" s="20">
        <f>B26/$B$22*100</f>
        <v>7.3638613861386135</v>
      </c>
      <c r="C27" s="20">
        <f t="shared" ref="C27:O27" si="15">C26/$B26*100</f>
        <v>38.655462184873954</v>
      </c>
      <c r="D27" s="207">
        <f t="shared" si="15"/>
        <v>78.991596638655466</v>
      </c>
      <c r="E27" s="207">
        <f t="shared" si="15"/>
        <v>42.016806722689076</v>
      </c>
      <c r="F27" s="207">
        <f t="shared" si="15"/>
        <v>17.647058823529413</v>
      </c>
      <c r="G27" s="207">
        <f t="shared" si="15"/>
        <v>13.445378151260504</v>
      </c>
      <c r="H27" s="207">
        <f t="shared" si="15"/>
        <v>15.126050420168067</v>
      </c>
      <c r="I27" s="207">
        <f t="shared" si="15"/>
        <v>8.4033613445378155</v>
      </c>
      <c r="J27" s="207">
        <f t="shared" si="15"/>
        <v>3.3613445378151261</v>
      </c>
      <c r="K27" s="207">
        <f t="shared" si="15"/>
        <v>2.5210084033613445</v>
      </c>
      <c r="L27" s="207">
        <f t="shared" si="15"/>
        <v>5.8823529411764701</v>
      </c>
      <c r="M27" s="207">
        <f t="shared" si="15"/>
        <v>8.4033613445378155</v>
      </c>
      <c r="N27" s="207">
        <f t="shared" si="15"/>
        <v>1.680672268907563</v>
      </c>
      <c r="O27" s="207">
        <f t="shared" si="15"/>
        <v>5.8823529411764701</v>
      </c>
      <c r="P27" s="208"/>
      <c r="Q27" s="104"/>
    </row>
    <row r="28" spans="1:18" ht="13.5" customHeight="1" x14ac:dyDescent="0.2">
      <c r="A28" s="269" t="str">
        <f>'問2S（表）'!A39</f>
        <v>30～39歳(n = 196 )　　</v>
      </c>
      <c r="B28" s="34">
        <f>'問2S（表）'!B39</f>
        <v>196</v>
      </c>
      <c r="C28" s="31">
        <v>73</v>
      </c>
      <c r="D28" s="32">
        <v>147</v>
      </c>
      <c r="E28" s="32">
        <v>80</v>
      </c>
      <c r="F28" s="32">
        <v>5</v>
      </c>
      <c r="G28" s="32">
        <v>22</v>
      </c>
      <c r="H28" s="32">
        <v>83</v>
      </c>
      <c r="I28" s="32">
        <v>16</v>
      </c>
      <c r="J28" s="32">
        <v>12</v>
      </c>
      <c r="K28" s="32">
        <v>13</v>
      </c>
      <c r="L28" s="32">
        <v>17</v>
      </c>
      <c r="M28" s="32">
        <v>25</v>
      </c>
      <c r="N28" s="32">
        <v>8</v>
      </c>
      <c r="O28" s="32">
        <v>3</v>
      </c>
      <c r="P28" s="33"/>
      <c r="Q28" s="104">
        <f>SUM(C28:P28)</f>
        <v>504</v>
      </c>
      <c r="R28" t="str">
        <f>" 30～39歳（N = "&amp;Q28&amp;" : n = "&amp;B28&amp;"）"</f>
        <v xml:space="preserve"> 30～39歳（N = 504 : n = 196）</v>
      </c>
    </row>
    <row r="29" spans="1:18" x14ac:dyDescent="0.2">
      <c r="A29" s="270"/>
      <c r="B29" s="20">
        <f>B28/$B$22*100</f>
        <v>12.128712871287128</v>
      </c>
      <c r="C29" s="20">
        <f t="shared" ref="C29:O29" si="16">C28/$B28*100</f>
        <v>37.244897959183675</v>
      </c>
      <c r="D29" s="207">
        <f t="shared" si="16"/>
        <v>75</v>
      </c>
      <c r="E29" s="207">
        <f t="shared" si="16"/>
        <v>40.816326530612244</v>
      </c>
      <c r="F29" s="207">
        <f t="shared" si="16"/>
        <v>2.5510204081632653</v>
      </c>
      <c r="G29" s="207">
        <f t="shared" si="16"/>
        <v>11.224489795918368</v>
      </c>
      <c r="H29" s="207">
        <f t="shared" si="16"/>
        <v>42.346938775510203</v>
      </c>
      <c r="I29" s="207">
        <f t="shared" si="16"/>
        <v>8.1632653061224492</v>
      </c>
      <c r="J29" s="207">
        <f t="shared" si="16"/>
        <v>6.1224489795918364</v>
      </c>
      <c r="K29" s="207">
        <f t="shared" si="16"/>
        <v>6.6326530612244898</v>
      </c>
      <c r="L29" s="207">
        <f t="shared" si="16"/>
        <v>8.6734693877551017</v>
      </c>
      <c r="M29" s="207">
        <f t="shared" si="16"/>
        <v>12.755102040816327</v>
      </c>
      <c r="N29" s="207">
        <f t="shared" si="16"/>
        <v>4.0816326530612246</v>
      </c>
      <c r="O29" s="207">
        <f t="shared" si="16"/>
        <v>1.5306122448979591</v>
      </c>
      <c r="P29" s="208"/>
      <c r="Q29" s="104"/>
    </row>
    <row r="30" spans="1:18" ht="13.5" customHeight="1" x14ac:dyDescent="0.2">
      <c r="A30" s="269" t="str">
        <f>'問2S（表）'!A41</f>
        <v>40～49歳(n = 281 )　　</v>
      </c>
      <c r="B30" s="34">
        <f>'問2S（表）'!B41</f>
        <v>281</v>
      </c>
      <c r="C30" s="31">
        <v>145</v>
      </c>
      <c r="D30" s="32">
        <v>193</v>
      </c>
      <c r="E30" s="32">
        <v>108</v>
      </c>
      <c r="F30" s="32">
        <v>2</v>
      </c>
      <c r="G30" s="32">
        <v>10</v>
      </c>
      <c r="H30" s="32">
        <v>117</v>
      </c>
      <c r="I30" s="32">
        <v>48</v>
      </c>
      <c r="J30" s="32">
        <v>28</v>
      </c>
      <c r="K30" s="32">
        <v>20</v>
      </c>
      <c r="L30" s="32">
        <v>22</v>
      </c>
      <c r="M30" s="32">
        <v>27</v>
      </c>
      <c r="N30" s="32">
        <v>5</v>
      </c>
      <c r="O30" s="32">
        <v>10</v>
      </c>
      <c r="P30" s="33"/>
      <c r="Q30" s="104">
        <f>SUM(C30:P30)</f>
        <v>735</v>
      </c>
      <c r="R30" t="str">
        <f>" 40～49歳（N = "&amp;Q30&amp;" : n = "&amp;B30&amp;"）"</f>
        <v xml:space="preserve"> 40～49歳（N = 735 : n = 281）</v>
      </c>
    </row>
    <row r="31" spans="1:18" x14ac:dyDescent="0.2">
      <c r="A31" s="270"/>
      <c r="B31" s="20">
        <f>B30/$B$22*100</f>
        <v>17.388613861386137</v>
      </c>
      <c r="C31" s="20">
        <f t="shared" ref="C31:O31" si="17">C30/$B30*100</f>
        <v>51.601423487544487</v>
      </c>
      <c r="D31" s="207">
        <f t="shared" si="17"/>
        <v>68.683274021352318</v>
      </c>
      <c r="E31" s="207">
        <f t="shared" si="17"/>
        <v>38.434163701067611</v>
      </c>
      <c r="F31" s="207">
        <f t="shared" si="17"/>
        <v>0.71174377224199281</v>
      </c>
      <c r="G31" s="207">
        <f t="shared" si="17"/>
        <v>3.5587188612099649</v>
      </c>
      <c r="H31" s="207">
        <f t="shared" si="17"/>
        <v>41.637010676156585</v>
      </c>
      <c r="I31" s="207">
        <f t="shared" si="17"/>
        <v>17.081850533807831</v>
      </c>
      <c r="J31" s="207">
        <f t="shared" si="17"/>
        <v>9.9644128113879002</v>
      </c>
      <c r="K31" s="207">
        <f t="shared" si="17"/>
        <v>7.1174377224199299</v>
      </c>
      <c r="L31" s="207">
        <f t="shared" si="17"/>
        <v>7.8291814946619214</v>
      </c>
      <c r="M31" s="207">
        <f t="shared" si="17"/>
        <v>9.6085409252669027</v>
      </c>
      <c r="N31" s="207">
        <f t="shared" si="17"/>
        <v>1.7793594306049825</v>
      </c>
      <c r="O31" s="207">
        <f t="shared" si="17"/>
        <v>3.5587188612099649</v>
      </c>
      <c r="P31" s="208"/>
      <c r="Q31" s="104"/>
    </row>
    <row r="32" spans="1:18" ht="13.5" customHeight="1" x14ac:dyDescent="0.2">
      <c r="A32" s="269" t="str">
        <f>'問2S（表）'!A43</f>
        <v>50～59歳(n = 320 )　　</v>
      </c>
      <c r="B32" s="34">
        <f>'問2S（表）'!B43</f>
        <v>320</v>
      </c>
      <c r="C32" s="31">
        <v>205</v>
      </c>
      <c r="D32" s="32">
        <v>224</v>
      </c>
      <c r="E32" s="32">
        <v>106</v>
      </c>
      <c r="F32" s="32">
        <v>4</v>
      </c>
      <c r="G32" s="32">
        <v>8</v>
      </c>
      <c r="H32" s="32">
        <v>32</v>
      </c>
      <c r="I32" s="32">
        <v>112</v>
      </c>
      <c r="J32" s="32">
        <v>23</v>
      </c>
      <c r="K32" s="32">
        <v>30</v>
      </c>
      <c r="L32" s="32">
        <v>22</v>
      </c>
      <c r="M32" s="32">
        <v>32</v>
      </c>
      <c r="N32" s="32">
        <v>25</v>
      </c>
      <c r="O32" s="32">
        <v>9</v>
      </c>
      <c r="P32" s="33"/>
      <c r="Q32" s="104">
        <f>SUM(C32:P32)</f>
        <v>832</v>
      </c>
      <c r="R32" t="str">
        <f>" 50～59歳（N = "&amp;Q32&amp;" : n = "&amp;B32&amp;"）"</f>
        <v xml:space="preserve"> 50～59歳（N = 832 : n = 320）</v>
      </c>
    </row>
    <row r="33" spans="1:31" x14ac:dyDescent="0.2">
      <c r="A33" s="270"/>
      <c r="B33" s="20">
        <f>B32/$B$22*100</f>
        <v>19.801980198019802</v>
      </c>
      <c r="C33" s="20">
        <f t="shared" ref="C33:O33" si="18">C32/$B32*100</f>
        <v>64.0625</v>
      </c>
      <c r="D33" s="207">
        <f t="shared" si="18"/>
        <v>70</v>
      </c>
      <c r="E33" s="207">
        <f t="shared" si="18"/>
        <v>33.125</v>
      </c>
      <c r="F33" s="207">
        <f t="shared" si="18"/>
        <v>1.25</v>
      </c>
      <c r="G33" s="207">
        <f t="shared" si="18"/>
        <v>2.5</v>
      </c>
      <c r="H33" s="207">
        <f t="shared" si="18"/>
        <v>10</v>
      </c>
      <c r="I33" s="207">
        <f t="shared" si="18"/>
        <v>35</v>
      </c>
      <c r="J33" s="207">
        <f t="shared" si="18"/>
        <v>7.1874999999999991</v>
      </c>
      <c r="K33" s="207">
        <f t="shared" si="18"/>
        <v>9.375</v>
      </c>
      <c r="L33" s="207">
        <f t="shared" si="18"/>
        <v>6.8750000000000009</v>
      </c>
      <c r="M33" s="207">
        <f t="shared" si="18"/>
        <v>10</v>
      </c>
      <c r="N33" s="207">
        <f t="shared" si="18"/>
        <v>7.8125</v>
      </c>
      <c r="O33" s="207">
        <f t="shared" si="18"/>
        <v>2.8125</v>
      </c>
      <c r="P33" s="208"/>
      <c r="Q33" s="104"/>
    </row>
    <row r="34" spans="1:31" ht="13.5" customHeight="1" x14ac:dyDescent="0.2">
      <c r="A34" s="269" t="str">
        <f>'問2S（表）'!A45</f>
        <v>60～69歳(n = 352 )　　</v>
      </c>
      <c r="B34" s="34">
        <f>'問2S（表）'!B45</f>
        <v>352</v>
      </c>
      <c r="C34" s="31">
        <v>286</v>
      </c>
      <c r="D34" s="32">
        <v>221</v>
      </c>
      <c r="E34" s="32">
        <v>71</v>
      </c>
      <c r="F34" s="32">
        <v>6</v>
      </c>
      <c r="G34" s="32">
        <v>8</v>
      </c>
      <c r="H34" s="32">
        <v>8</v>
      </c>
      <c r="I34" s="32">
        <v>103</v>
      </c>
      <c r="J34" s="32">
        <v>21</v>
      </c>
      <c r="K34" s="32">
        <v>25</v>
      </c>
      <c r="L34" s="32">
        <v>40</v>
      </c>
      <c r="M34" s="32">
        <v>39</v>
      </c>
      <c r="N34" s="32">
        <v>21</v>
      </c>
      <c r="O34" s="32">
        <v>15</v>
      </c>
      <c r="P34" s="33"/>
      <c r="Q34" s="104">
        <f>SUM(C34:P34)</f>
        <v>864</v>
      </c>
      <c r="R34" t="str">
        <f>" 60～69歳（N = "&amp;Q34&amp;" : n = "&amp;B34&amp;"）"</f>
        <v xml:space="preserve"> 60～69歳（N = 864 : n = 352）</v>
      </c>
    </row>
    <row r="35" spans="1:31" x14ac:dyDescent="0.2">
      <c r="A35" s="270"/>
      <c r="B35" s="20">
        <f>B34/$B$22*100</f>
        <v>21.782178217821784</v>
      </c>
      <c r="C35" s="20">
        <f t="shared" ref="C35:O35" si="19">C34/$B34*100</f>
        <v>81.25</v>
      </c>
      <c r="D35" s="207">
        <f t="shared" si="19"/>
        <v>62.784090909090907</v>
      </c>
      <c r="E35" s="207">
        <f t="shared" si="19"/>
        <v>20.170454545454543</v>
      </c>
      <c r="F35" s="207">
        <f t="shared" si="19"/>
        <v>1.7045454545454544</v>
      </c>
      <c r="G35" s="207">
        <f t="shared" si="19"/>
        <v>2.2727272727272729</v>
      </c>
      <c r="H35" s="207">
        <f t="shared" si="19"/>
        <v>2.2727272727272729</v>
      </c>
      <c r="I35" s="207">
        <f t="shared" si="19"/>
        <v>29.261363636363637</v>
      </c>
      <c r="J35" s="207">
        <f t="shared" si="19"/>
        <v>5.9659090909090908</v>
      </c>
      <c r="K35" s="207">
        <f t="shared" si="19"/>
        <v>7.1022727272727275</v>
      </c>
      <c r="L35" s="207">
        <f t="shared" si="19"/>
        <v>11.363636363636363</v>
      </c>
      <c r="M35" s="207">
        <f t="shared" si="19"/>
        <v>11.079545454545455</v>
      </c>
      <c r="N35" s="207">
        <f t="shared" si="19"/>
        <v>5.9659090909090908</v>
      </c>
      <c r="O35" s="207">
        <f t="shared" si="19"/>
        <v>4.2613636363636358</v>
      </c>
      <c r="P35" s="208"/>
      <c r="Q35" s="104"/>
    </row>
    <row r="36" spans="1:31" ht="13.5" customHeight="1" x14ac:dyDescent="0.2">
      <c r="A36" s="269" t="str">
        <f>'問2S（表）'!A47</f>
        <v>70歳以上(n = 315 )　　</v>
      </c>
      <c r="B36" s="34">
        <f>'問2S（表）'!B47</f>
        <v>315</v>
      </c>
      <c r="C36" s="31">
        <v>276</v>
      </c>
      <c r="D36" s="32">
        <v>153</v>
      </c>
      <c r="E36" s="32">
        <v>40</v>
      </c>
      <c r="F36" s="32">
        <v>1</v>
      </c>
      <c r="G36" s="32">
        <v>2</v>
      </c>
      <c r="H36" s="32">
        <v>5</v>
      </c>
      <c r="I36" s="32">
        <v>108</v>
      </c>
      <c r="J36" s="32">
        <v>21</v>
      </c>
      <c r="K36" s="32">
        <v>21</v>
      </c>
      <c r="L36" s="32">
        <v>29</v>
      </c>
      <c r="M36" s="32">
        <v>58</v>
      </c>
      <c r="N36" s="32">
        <v>15</v>
      </c>
      <c r="O36" s="32">
        <v>12</v>
      </c>
      <c r="P36" s="33"/>
      <c r="Q36" s="104">
        <f>SUM(C36:P36)</f>
        <v>741</v>
      </c>
      <c r="R36" t="str">
        <f>" 70歳以上（N = "&amp;Q36&amp;" : n = "&amp;B36&amp;"）"</f>
        <v xml:space="preserve"> 70歳以上（N = 741 : n = 315）</v>
      </c>
    </row>
    <row r="37" spans="1:31" x14ac:dyDescent="0.2">
      <c r="A37" s="270"/>
      <c r="B37" s="20">
        <f>B36/$B$22*100</f>
        <v>19.492574257425744</v>
      </c>
      <c r="C37" s="20">
        <f t="shared" ref="C37:O37" si="20">C36/$B36*100</f>
        <v>87.61904761904762</v>
      </c>
      <c r="D37" s="207">
        <f t="shared" si="20"/>
        <v>48.571428571428569</v>
      </c>
      <c r="E37" s="207">
        <f t="shared" si="20"/>
        <v>12.698412698412698</v>
      </c>
      <c r="F37" s="207">
        <f t="shared" si="20"/>
        <v>0.31746031746031744</v>
      </c>
      <c r="G37" s="207">
        <f t="shared" si="20"/>
        <v>0.63492063492063489</v>
      </c>
      <c r="H37" s="207">
        <f t="shared" si="20"/>
        <v>1.5873015873015872</v>
      </c>
      <c r="I37" s="207">
        <f t="shared" si="20"/>
        <v>34.285714285714285</v>
      </c>
      <c r="J37" s="207">
        <f t="shared" si="20"/>
        <v>6.666666666666667</v>
      </c>
      <c r="K37" s="207">
        <f t="shared" si="20"/>
        <v>6.666666666666667</v>
      </c>
      <c r="L37" s="207">
        <f t="shared" si="20"/>
        <v>9.2063492063492074</v>
      </c>
      <c r="M37" s="207">
        <f t="shared" si="20"/>
        <v>18.412698412698415</v>
      </c>
      <c r="N37" s="207">
        <f t="shared" si="20"/>
        <v>4.7619047619047619</v>
      </c>
      <c r="O37" s="207">
        <f t="shared" si="20"/>
        <v>3.8095238095238098</v>
      </c>
      <c r="P37" s="208"/>
      <c r="Q37" s="104"/>
    </row>
    <row r="38" spans="1:31" s="183" customFormat="1" x14ac:dyDescent="0.2">
      <c r="A38" s="181"/>
      <c r="B38" s="182"/>
      <c r="C38" s="172">
        <f>_xlfn.RANK.EQ(C23,$C$23:$P$23,0)</f>
        <v>2</v>
      </c>
      <c r="D38" s="172">
        <f t="shared" ref="D38:P38" si="21">_xlfn.RANK.EQ(D23,$C$23:$P$23,0)</f>
        <v>1</v>
      </c>
      <c r="E38" s="172">
        <f t="shared" si="21"/>
        <v>3</v>
      </c>
      <c r="F38" s="172">
        <f t="shared" si="21"/>
        <v>13</v>
      </c>
      <c r="G38" s="172">
        <f t="shared" si="21"/>
        <v>11</v>
      </c>
      <c r="H38" s="172">
        <f t="shared" si="21"/>
        <v>5</v>
      </c>
      <c r="I38" s="172">
        <f t="shared" si="21"/>
        <v>4</v>
      </c>
      <c r="J38" s="172">
        <f t="shared" si="21"/>
        <v>9</v>
      </c>
      <c r="K38" s="172">
        <f t="shared" si="21"/>
        <v>8</v>
      </c>
      <c r="L38" s="172">
        <f t="shared" si="21"/>
        <v>7</v>
      </c>
      <c r="M38" s="172">
        <f t="shared" si="21"/>
        <v>6</v>
      </c>
      <c r="N38" s="172">
        <f t="shared" si="21"/>
        <v>10</v>
      </c>
      <c r="O38" s="172">
        <f t="shared" si="21"/>
        <v>12</v>
      </c>
      <c r="P38" s="172" t="e">
        <f t="shared" si="21"/>
        <v>#N/A</v>
      </c>
    </row>
    <row r="39" spans="1:31" x14ac:dyDescent="0.2">
      <c r="A39" s="26" t="s">
        <v>197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ht="12.75" customHeight="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45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68.25" customHeight="1" x14ac:dyDescent="0.2">
      <c r="A41" s="12" t="str">
        <f>A21</f>
        <v>【年代別】</v>
      </c>
      <c r="B41" s="59" t="str">
        <f>B12</f>
        <v>調査数</v>
      </c>
      <c r="C41" s="60" t="s">
        <v>205</v>
      </c>
      <c r="D41" s="61" t="s">
        <v>204</v>
      </c>
      <c r="E41" s="61" t="s">
        <v>206</v>
      </c>
      <c r="F41" s="61" t="s">
        <v>53</v>
      </c>
      <c r="G41" s="61" t="s">
        <v>52</v>
      </c>
      <c r="H41" s="61" t="s">
        <v>207</v>
      </c>
      <c r="I41" s="61" t="s">
        <v>56</v>
      </c>
      <c r="J41" s="61" t="s">
        <v>55</v>
      </c>
      <c r="K41" s="61" t="s">
        <v>54</v>
      </c>
      <c r="L41" s="61" t="s">
        <v>51</v>
      </c>
      <c r="M41" s="62" t="s">
        <v>50</v>
      </c>
      <c r="N41" s="61" t="s">
        <v>57</v>
      </c>
      <c r="O41" s="62" t="s">
        <v>75</v>
      </c>
      <c r="P41" s="63"/>
      <c r="Q41" s="44" t="s">
        <v>32</v>
      </c>
      <c r="R41" s="12" t="str">
        <f>A41</f>
        <v>【年代別】</v>
      </c>
      <c r="S41" s="60" t="str">
        <f>C41</f>
        <v>収入・貯蓄</v>
      </c>
      <c r="T41" s="61" t="str">
        <f t="shared" ref="T41:AE41" si="22">D41</f>
        <v>健康・体力</v>
      </c>
      <c r="U41" s="61" t="str">
        <f t="shared" si="22"/>
        <v>仕事</v>
      </c>
      <c r="V41" s="61" t="str">
        <f t="shared" si="22"/>
        <v>介護</v>
      </c>
      <c r="W41" s="61" t="str">
        <f t="shared" si="22"/>
        <v>子育て・子どもの教育</v>
      </c>
      <c r="X41" s="61" t="str">
        <f t="shared" si="22"/>
        <v>地域の住環境（上下水道、公園、
        道路、公共交通機関など）</v>
      </c>
      <c r="Y41" s="62" t="str">
        <f t="shared" si="22"/>
        <v>住宅</v>
      </c>
      <c r="Z41" s="106" t="str">
        <f t="shared" si="22"/>
        <v>地域での人間関係</v>
      </c>
      <c r="AA41" s="61" t="str">
        <f t="shared" si="22"/>
        <v>家庭での人間関係</v>
      </c>
      <c r="AB41" s="61" t="str">
        <f t="shared" si="22"/>
        <v>結婚</v>
      </c>
      <c r="AC41" s="61" t="str">
        <f t="shared" si="22"/>
        <v>就職</v>
      </c>
      <c r="AD41" s="62" t="str">
        <f t="shared" si="22"/>
        <v>その他</v>
      </c>
      <c r="AE41" s="63" t="str">
        <f t="shared" si="22"/>
        <v>特にない</v>
      </c>
    </row>
    <row r="42" spans="1:31" ht="12.75" customHeight="1" x14ac:dyDescent="0.2">
      <c r="A42" s="269" t="str">
        <f>A22</f>
        <v>全体(n = 1,616 )　　</v>
      </c>
      <c r="B42" s="113">
        <f>B22</f>
        <v>1616</v>
      </c>
      <c r="C42" s="121">
        <v>1042</v>
      </c>
      <c r="D42" s="122">
        <v>1037</v>
      </c>
      <c r="E42" s="122">
        <v>456</v>
      </c>
      <c r="F42" s="122">
        <v>399</v>
      </c>
      <c r="G42" s="122">
        <v>263</v>
      </c>
      <c r="H42" s="122">
        <v>195</v>
      </c>
      <c r="I42" s="122">
        <v>138</v>
      </c>
      <c r="J42" s="122">
        <v>112</v>
      </c>
      <c r="K42" s="122">
        <v>111</v>
      </c>
      <c r="L42" s="122">
        <v>68</v>
      </c>
      <c r="M42" s="123">
        <v>42</v>
      </c>
      <c r="N42" s="122">
        <v>77</v>
      </c>
      <c r="O42" s="123">
        <v>63</v>
      </c>
      <c r="P42" s="124"/>
      <c r="R42" s="93" t="str">
        <f>A44</f>
        <v>18～19歳(n = 21 )　　</v>
      </c>
      <c r="S42" s="84">
        <f>C45</f>
        <v>47.619047619047613</v>
      </c>
      <c r="T42" s="85">
        <f t="shared" ref="T42:AE42" si="23">D45</f>
        <v>28.571428571428569</v>
      </c>
      <c r="U42" s="85">
        <f t="shared" si="23"/>
        <v>4.7619047619047619</v>
      </c>
      <c r="V42" s="85">
        <f t="shared" si="23"/>
        <v>9.5238095238095237</v>
      </c>
      <c r="W42" s="85">
        <f t="shared" si="23"/>
        <v>0</v>
      </c>
      <c r="X42" s="85">
        <f t="shared" si="23"/>
        <v>19.047619047619047</v>
      </c>
      <c r="Y42" s="86">
        <f t="shared" si="23"/>
        <v>4.7619047619047619</v>
      </c>
      <c r="Z42" s="108">
        <f t="shared" si="23"/>
        <v>0</v>
      </c>
      <c r="AA42" s="85">
        <f t="shared" si="23"/>
        <v>9.5238095238095237</v>
      </c>
      <c r="AB42" s="85">
        <f t="shared" si="23"/>
        <v>9.5238095238095237</v>
      </c>
      <c r="AC42" s="85">
        <f t="shared" si="23"/>
        <v>14.285714285714285</v>
      </c>
      <c r="AD42" s="86">
        <f t="shared" si="23"/>
        <v>4.7619047619047619</v>
      </c>
      <c r="AE42" s="87">
        <f t="shared" si="23"/>
        <v>33.333333333333329</v>
      </c>
    </row>
    <row r="43" spans="1:31" ht="12.75" customHeight="1" x14ac:dyDescent="0.2">
      <c r="A43" s="270"/>
      <c r="B43" s="114">
        <f>B23</f>
        <v>100</v>
      </c>
      <c r="C43" s="125">
        <v>64.480198019801975</v>
      </c>
      <c r="D43" s="126">
        <v>64.170792079207914</v>
      </c>
      <c r="E43" s="126">
        <v>28.217821782178216</v>
      </c>
      <c r="F43" s="126">
        <v>24.690594059405939</v>
      </c>
      <c r="G43" s="126">
        <v>16.274752475247524</v>
      </c>
      <c r="H43" s="126">
        <v>12.066831683168317</v>
      </c>
      <c r="I43" s="126">
        <v>8.5396039603960396</v>
      </c>
      <c r="J43" s="126">
        <v>6.9306930693069315</v>
      </c>
      <c r="K43" s="126">
        <v>6.8688118811881189</v>
      </c>
      <c r="L43" s="126">
        <v>4.2079207920792081</v>
      </c>
      <c r="M43" s="127">
        <v>2.5990099009900991</v>
      </c>
      <c r="N43" s="126">
        <v>4.7648514851485153</v>
      </c>
      <c r="O43" s="127">
        <v>3.8985148514851486</v>
      </c>
      <c r="P43" s="128"/>
      <c r="R43" s="95" t="str">
        <f>A46</f>
        <v>20～29歳(n = 119 )　　</v>
      </c>
      <c r="S43" s="88">
        <f>C47</f>
        <v>78.991596638655466</v>
      </c>
      <c r="T43" s="89">
        <f t="shared" ref="T43:AE43" si="24">D47</f>
        <v>38.655462184873954</v>
      </c>
      <c r="U43" s="89">
        <f t="shared" si="24"/>
        <v>42.016806722689076</v>
      </c>
      <c r="V43" s="89">
        <f t="shared" si="24"/>
        <v>8.4033613445378155</v>
      </c>
      <c r="W43" s="89">
        <f t="shared" si="24"/>
        <v>15.126050420168067</v>
      </c>
      <c r="X43" s="89">
        <f t="shared" si="24"/>
        <v>8.4033613445378155</v>
      </c>
      <c r="Y43" s="90">
        <f t="shared" si="24"/>
        <v>5.8823529411764701</v>
      </c>
      <c r="Z43" s="109">
        <f t="shared" si="24"/>
        <v>2.5210084033613445</v>
      </c>
      <c r="AA43" s="89">
        <f t="shared" si="24"/>
        <v>3.3613445378151261</v>
      </c>
      <c r="AB43" s="89">
        <f t="shared" si="24"/>
        <v>13.445378151260504</v>
      </c>
      <c r="AC43" s="89">
        <f t="shared" si="24"/>
        <v>17.647058823529413</v>
      </c>
      <c r="AD43" s="90">
        <f t="shared" si="24"/>
        <v>1.680672268907563</v>
      </c>
      <c r="AE43" s="91">
        <f t="shared" si="24"/>
        <v>5.8823529411764701</v>
      </c>
    </row>
    <row r="44" spans="1:31" ht="12.75" customHeight="1" x14ac:dyDescent="0.2">
      <c r="A44" s="269" t="str">
        <f>A24</f>
        <v>18～19歳(n = 21 )　　</v>
      </c>
      <c r="B44" s="113">
        <f t="shared" ref="B44:B57" si="25">B24</f>
        <v>21</v>
      </c>
      <c r="C44" s="129">
        <v>10</v>
      </c>
      <c r="D44" s="130">
        <v>6</v>
      </c>
      <c r="E44" s="130">
        <v>1</v>
      </c>
      <c r="F44" s="130">
        <v>2</v>
      </c>
      <c r="G44" s="130">
        <v>0</v>
      </c>
      <c r="H44" s="130">
        <v>4</v>
      </c>
      <c r="I44" s="130">
        <v>1</v>
      </c>
      <c r="J44" s="130">
        <v>0</v>
      </c>
      <c r="K44" s="130">
        <v>2</v>
      </c>
      <c r="L44" s="130">
        <v>2</v>
      </c>
      <c r="M44" s="140">
        <v>3</v>
      </c>
      <c r="N44" s="130">
        <v>1</v>
      </c>
      <c r="O44" s="130">
        <v>7</v>
      </c>
      <c r="P44" s="131"/>
      <c r="Q44" s="104"/>
      <c r="R44" s="95" t="str">
        <f>A48</f>
        <v>30～39歳(n = 196 )　　</v>
      </c>
      <c r="S44" s="88">
        <f>C49</f>
        <v>75</v>
      </c>
      <c r="T44" s="89">
        <f t="shared" ref="T44:AE44" si="26">D49</f>
        <v>37.244897959183675</v>
      </c>
      <c r="U44" s="89">
        <f t="shared" si="26"/>
        <v>40.816326530612244</v>
      </c>
      <c r="V44" s="89">
        <f t="shared" si="26"/>
        <v>8.1632653061224492</v>
      </c>
      <c r="W44" s="89">
        <f t="shared" si="26"/>
        <v>42.346938775510203</v>
      </c>
      <c r="X44" s="89">
        <f t="shared" si="26"/>
        <v>12.755102040816327</v>
      </c>
      <c r="Y44" s="90">
        <f t="shared" si="26"/>
        <v>8.6734693877551017</v>
      </c>
      <c r="Z44" s="109">
        <f t="shared" si="26"/>
        <v>6.6326530612244898</v>
      </c>
      <c r="AA44" s="89">
        <f t="shared" si="26"/>
        <v>6.1224489795918364</v>
      </c>
      <c r="AB44" s="89">
        <f t="shared" si="26"/>
        <v>11.224489795918368</v>
      </c>
      <c r="AC44" s="89">
        <f t="shared" si="26"/>
        <v>2.5510204081632653</v>
      </c>
      <c r="AD44" s="90">
        <f t="shared" si="26"/>
        <v>4.0816326530612246</v>
      </c>
      <c r="AE44" s="91">
        <f t="shared" si="26"/>
        <v>1.5306122448979591</v>
      </c>
    </row>
    <row r="45" spans="1:31" ht="12.75" customHeight="1" x14ac:dyDescent="0.2">
      <c r="A45" s="270"/>
      <c r="B45" s="114">
        <f t="shared" si="25"/>
        <v>1.2995049504950495</v>
      </c>
      <c r="C45" s="125">
        <v>47.619047619047613</v>
      </c>
      <c r="D45" s="126">
        <v>28.571428571428569</v>
      </c>
      <c r="E45" s="126">
        <v>4.7619047619047619</v>
      </c>
      <c r="F45" s="126">
        <v>9.5238095238095237</v>
      </c>
      <c r="G45" s="126">
        <v>0</v>
      </c>
      <c r="H45" s="126">
        <v>19.047619047619047</v>
      </c>
      <c r="I45" s="126">
        <v>4.7619047619047619</v>
      </c>
      <c r="J45" s="126">
        <v>0</v>
      </c>
      <c r="K45" s="126">
        <v>9.5238095238095237</v>
      </c>
      <c r="L45" s="126">
        <v>9.5238095238095237</v>
      </c>
      <c r="M45" s="127">
        <v>14.285714285714285</v>
      </c>
      <c r="N45" s="126">
        <v>4.7619047619047619</v>
      </c>
      <c r="O45" s="126">
        <v>33.333333333333329</v>
      </c>
      <c r="P45" s="128"/>
      <c r="Q45" s="104"/>
      <c r="R45" s="95" t="str">
        <f>A50</f>
        <v>40～49歳(n = 281 )　　</v>
      </c>
      <c r="S45" s="88">
        <f>C51</f>
        <v>68.683274021352318</v>
      </c>
      <c r="T45" s="89">
        <f t="shared" ref="T45:AE45" si="27">D51</f>
        <v>51.601423487544487</v>
      </c>
      <c r="U45" s="89">
        <f t="shared" si="27"/>
        <v>38.434163701067611</v>
      </c>
      <c r="V45" s="89">
        <f t="shared" si="27"/>
        <v>17.081850533807831</v>
      </c>
      <c r="W45" s="89">
        <f t="shared" si="27"/>
        <v>41.637010676156585</v>
      </c>
      <c r="X45" s="89">
        <f t="shared" si="27"/>
        <v>9.6085409252669027</v>
      </c>
      <c r="Y45" s="90">
        <f t="shared" si="27"/>
        <v>7.8291814946619214</v>
      </c>
      <c r="Z45" s="109">
        <f t="shared" si="27"/>
        <v>7.1174377224199299</v>
      </c>
      <c r="AA45" s="89">
        <f t="shared" si="27"/>
        <v>9.9644128113879002</v>
      </c>
      <c r="AB45" s="89">
        <f t="shared" si="27"/>
        <v>3.5587188612099649</v>
      </c>
      <c r="AC45" s="89">
        <f t="shared" si="27"/>
        <v>0.71174377224199281</v>
      </c>
      <c r="AD45" s="90">
        <f t="shared" si="27"/>
        <v>1.7793594306049825</v>
      </c>
      <c r="AE45" s="91">
        <f t="shared" si="27"/>
        <v>3.5587188612099649</v>
      </c>
    </row>
    <row r="46" spans="1:31" ht="13.5" customHeight="1" x14ac:dyDescent="0.2">
      <c r="A46" s="269" t="str">
        <f>A26</f>
        <v>20～29歳(n = 119 )　　</v>
      </c>
      <c r="B46" s="113">
        <f t="shared" si="25"/>
        <v>119</v>
      </c>
      <c r="C46" s="129">
        <v>94</v>
      </c>
      <c r="D46" s="130">
        <v>46</v>
      </c>
      <c r="E46" s="130">
        <v>50</v>
      </c>
      <c r="F46" s="130">
        <v>10</v>
      </c>
      <c r="G46" s="130">
        <v>18</v>
      </c>
      <c r="H46" s="130">
        <v>10</v>
      </c>
      <c r="I46" s="130">
        <v>7</v>
      </c>
      <c r="J46" s="130">
        <v>3</v>
      </c>
      <c r="K46" s="130">
        <v>4</v>
      </c>
      <c r="L46" s="130">
        <v>16</v>
      </c>
      <c r="M46" s="140">
        <v>21</v>
      </c>
      <c r="N46" s="130">
        <v>2</v>
      </c>
      <c r="O46" s="130">
        <v>7</v>
      </c>
      <c r="P46" s="131"/>
      <c r="R46" s="95" t="str">
        <f>A52</f>
        <v>50～59歳(n = 320 )　　</v>
      </c>
      <c r="S46" s="88">
        <f>C53</f>
        <v>70</v>
      </c>
      <c r="T46" s="89">
        <f t="shared" ref="T46:AE46" si="28">D53</f>
        <v>64.0625</v>
      </c>
      <c r="U46" s="89">
        <f t="shared" si="28"/>
        <v>33.125</v>
      </c>
      <c r="V46" s="89">
        <f t="shared" si="28"/>
        <v>35</v>
      </c>
      <c r="W46" s="89">
        <f t="shared" si="28"/>
        <v>10</v>
      </c>
      <c r="X46" s="89">
        <f t="shared" si="28"/>
        <v>10</v>
      </c>
      <c r="Y46" s="90">
        <f t="shared" si="28"/>
        <v>6.8750000000000009</v>
      </c>
      <c r="Z46" s="109">
        <f t="shared" si="28"/>
        <v>9.375</v>
      </c>
      <c r="AA46" s="89">
        <f t="shared" si="28"/>
        <v>7.1874999999999991</v>
      </c>
      <c r="AB46" s="89">
        <f t="shared" si="28"/>
        <v>2.5</v>
      </c>
      <c r="AC46" s="89">
        <f t="shared" si="28"/>
        <v>1.25</v>
      </c>
      <c r="AD46" s="90">
        <f t="shared" si="28"/>
        <v>7.8125</v>
      </c>
      <c r="AE46" s="91">
        <f t="shared" si="28"/>
        <v>2.8125</v>
      </c>
    </row>
    <row r="47" spans="1:31" ht="13.5" customHeight="1" x14ac:dyDescent="0.2">
      <c r="A47" s="270"/>
      <c r="B47" s="114">
        <f t="shared" si="25"/>
        <v>7.3638613861386135</v>
      </c>
      <c r="C47" s="125">
        <v>78.991596638655466</v>
      </c>
      <c r="D47" s="126">
        <v>38.655462184873954</v>
      </c>
      <c r="E47" s="126">
        <v>42.016806722689076</v>
      </c>
      <c r="F47" s="126">
        <v>8.4033613445378155</v>
      </c>
      <c r="G47" s="126">
        <v>15.126050420168067</v>
      </c>
      <c r="H47" s="126">
        <v>8.4033613445378155</v>
      </c>
      <c r="I47" s="126">
        <v>5.8823529411764701</v>
      </c>
      <c r="J47" s="126">
        <v>2.5210084033613445</v>
      </c>
      <c r="K47" s="126">
        <v>3.3613445378151261</v>
      </c>
      <c r="L47" s="126">
        <v>13.445378151260504</v>
      </c>
      <c r="M47" s="127">
        <v>17.647058823529413</v>
      </c>
      <c r="N47" s="126">
        <v>1.680672268907563</v>
      </c>
      <c r="O47" s="126">
        <v>5.8823529411764701</v>
      </c>
      <c r="P47" s="128"/>
      <c r="R47" s="95" t="str">
        <f>A54</f>
        <v>60～69歳(n = 352 )　　</v>
      </c>
      <c r="S47" s="88">
        <f>C55</f>
        <v>62.784090909090907</v>
      </c>
      <c r="T47" s="89">
        <f t="shared" ref="T47:AE47" si="29">D55</f>
        <v>81.25</v>
      </c>
      <c r="U47" s="89">
        <f t="shared" si="29"/>
        <v>20.170454545454543</v>
      </c>
      <c r="V47" s="89">
        <f t="shared" si="29"/>
        <v>29.261363636363637</v>
      </c>
      <c r="W47" s="89">
        <f t="shared" si="29"/>
        <v>2.2727272727272729</v>
      </c>
      <c r="X47" s="89">
        <f t="shared" si="29"/>
        <v>11.079545454545455</v>
      </c>
      <c r="Y47" s="90">
        <f t="shared" si="29"/>
        <v>11.363636363636363</v>
      </c>
      <c r="Z47" s="109">
        <f t="shared" si="29"/>
        <v>7.1022727272727275</v>
      </c>
      <c r="AA47" s="89">
        <f t="shared" si="29"/>
        <v>5.9659090909090908</v>
      </c>
      <c r="AB47" s="89">
        <f t="shared" si="29"/>
        <v>2.2727272727272729</v>
      </c>
      <c r="AC47" s="89">
        <f t="shared" si="29"/>
        <v>1.7045454545454544</v>
      </c>
      <c r="AD47" s="90">
        <f t="shared" si="29"/>
        <v>5.9659090909090908</v>
      </c>
      <c r="AE47" s="91">
        <f t="shared" si="29"/>
        <v>4.2613636363636358</v>
      </c>
    </row>
    <row r="48" spans="1:31" ht="13.5" customHeight="1" x14ac:dyDescent="0.2">
      <c r="A48" s="269" t="str">
        <f>A28</f>
        <v>30～39歳(n = 196 )　　</v>
      </c>
      <c r="B48" s="113">
        <f t="shared" si="25"/>
        <v>196</v>
      </c>
      <c r="C48" s="129">
        <v>147</v>
      </c>
      <c r="D48" s="130">
        <v>73</v>
      </c>
      <c r="E48" s="130">
        <v>80</v>
      </c>
      <c r="F48" s="130">
        <v>16</v>
      </c>
      <c r="G48" s="130">
        <v>83</v>
      </c>
      <c r="H48" s="130">
        <v>25</v>
      </c>
      <c r="I48" s="130">
        <v>17</v>
      </c>
      <c r="J48" s="130">
        <v>13</v>
      </c>
      <c r="K48" s="130">
        <v>12</v>
      </c>
      <c r="L48" s="130">
        <v>22</v>
      </c>
      <c r="M48" s="140">
        <v>5</v>
      </c>
      <c r="N48" s="130">
        <v>8</v>
      </c>
      <c r="O48" s="130">
        <v>3</v>
      </c>
      <c r="P48" s="131"/>
      <c r="R48" s="94" t="str">
        <f>A56</f>
        <v>70歳以上(n = 315 )　　</v>
      </c>
      <c r="S48" s="78">
        <f>C57</f>
        <v>48.571428571428569</v>
      </c>
      <c r="T48" s="79">
        <f t="shared" ref="T48:AE48" si="30">D57</f>
        <v>87.61904761904762</v>
      </c>
      <c r="U48" s="79">
        <f t="shared" si="30"/>
        <v>12.698412698412698</v>
      </c>
      <c r="V48" s="79">
        <f t="shared" si="30"/>
        <v>34.285714285714285</v>
      </c>
      <c r="W48" s="79">
        <f t="shared" si="30"/>
        <v>1.5873015873015872</v>
      </c>
      <c r="X48" s="79">
        <f t="shared" si="30"/>
        <v>18.412698412698415</v>
      </c>
      <c r="Y48" s="80">
        <f t="shared" si="30"/>
        <v>9.2063492063492074</v>
      </c>
      <c r="Z48" s="107">
        <f t="shared" si="30"/>
        <v>6.666666666666667</v>
      </c>
      <c r="AA48" s="79">
        <f t="shared" si="30"/>
        <v>6.666666666666667</v>
      </c>
      <c r="AB48" s="79">
        <f t="shared" si="30"/>
        <v>0.63492063492063489</v>
      </c>
      <c r="AC48" s="79">
        <f t="shared" si="30"/>
        <v>0.31746031746031744</v>
      </c>
      <c r="AD48" s="80">
        <f t="shared" si="30"/>
        <v>4.7619047619047619</v>
      </c>
      <c r="AE48" s="81">
        <f t="shared" si="30"/>
        <v>3.8095238095238098</v>
      </c>
    </row>
    <row r="49" spans="1:18" x14ac:dyDescent="0.2">
      <c r="A49" s="270"/>
      <c r="B49" s="114">
        <f t="shared" si="25"/>
        <v>12.128712871287128</v>
      </c>
      <c r="C49" s="125">
        <v>75</v>
      </c>
      <c r="D49" s="126">
        <v>37.244897959183675</v>
      </c>
      <c r="E49" s="126">
        <v>40.816326530612244</v>
      </c>
      <c r="F49" s="126">
        <v>8.1632653061224492</v>
      </c>
      <c r="G49" s="126">
        <v>42.346938775510203</v>
      </c>
      <c r="H49" s="126">
        <v>12.755102040816327</v>
      </c>
      <c r="I49" s="126">
        <v>8.6734693877551017</v>
      </c>
      <c r="J49" s="126">
        <v>6.6326530612244898</v>
      </c>
      <c r="K49" s="126">
        <v>6.1224489795918364</v>
      </c>
      <c r="L49" s="126">
        <v>11.224489795918368</v>
      </c>
      <c r="M49" s="127">
        <v>2.5510204081632653</v>
      </c>
      <c r="N49" s="126">
        <v>4.0816326530612246</v>
      </c>
      <c r="O49" s="126">
        <v>1.5306122448979591</v>
      </c>
      <c r="P49" s="128"/>
    </row>
    <row r="50" spans="1:18" x14ac:dyDescent="0.2">
      <c r="A50" s="269" t="str">
        <f>A30</f>
        <v>40～49歳(n = 281 )　　</v>
      </c>
      <c r="B50" s="113">
        <f t="shared" si="25"/>
        <v>281</v>
      </c>
      <c r="C50" s="129">
        <v>193</v>
      </c>
      <c r="D50" s="130">
        <v>145</v>
      </c>
      <c r="E50" s="130">
        <v>108</v>
      </c>
      <c r="F50" s="130">
        <v>48</v>
      </c>
      <c r="G50" s="130">
        <v>117</v>
      </c>
      <c r="H50" s="130">
        <v>27</v>
      </c>
      <c r="I50" s="130">
        <v>22</v>
      </c>
      <c r="J50" s="130">
        <v>20</v>
      </c>
      <c r="K50" s="130">
        <v>28</v>
      </c>
      <c r="L50" s="130">
        <v>10</v>
      </c>
      <c r="M50" s="140">
        <v>2</v>
      </c>
      <c r="N50" s="130">
        <v>5</v>
      </c>
      <c r="O50" s="130">
        <v>10</v>
      </c>
      <c r="P50" s="131"/>
    </row>
    <row r="51" spans="1:18" x14ac:dyDescent="0.2">
      <c r="A51" s="270"/>
      <c r="B51" s="114">
        <f t="shared" si="25"/>
        <v>17.388613861386137</v>
      </c>
      <c r="C51" s="125">
        <v>68.683274021352318</v>
      </c>
      <c r="D51" s="126">
        <v>51.601423487544487</v>
      </c>
      <c r="E51" s="126">
        <v>38.434163701067611</v>
      </c>
      <c r="F51" s="126">
        <v>17.081850533807831</v>
      </c>
      <c r="G51" s="126">
        <v>41.637010676156585</v>
      </c>
      <c r="H51" s="126">
        <v>9.6085409252669027</v>
      </c>
      <c r="I51" s="126">
        <v>7.8291814946619214</v>
      </c>
      <c r="J51" s="126">
        <v>7.1174377224199299</v>
      </c>
      <c r="K51" s="126">
        <v>9.9644128113879002</v>
      </c>
      <c r="L51" s="126">
        <v>3.5587188612099649</v>
      </c>
      <c r="M51" s="127">
        <v>0.71174377224199281</v>
      </c>
      <c r="N51" s="126">
        <v>1.7793594306049825</v>
      </c>
      <c r="O51" s="126">
        <v>3.5587188612099649</v>
      </c>
      <c r="P51" s="128"/>
    </row>
    <row r="52" spans="1:18" x14ac:dyDescent="0.2">
      <c r="A52" s="269" t="str">
        <f>A32</f>
        <v>50～59歳(n = 320 )　　</v>
      </c>
      <c r="B52" s="113">
        <f t="shared" si="25"/>
        <v>320</v>
      </c>
      <c r="C52" s="129">
        <v>224</v>
      </c>
      <c r="D52" s="130">
        <v>205</v>
      </c>
      <c r="E52" s="130">
        <v>106</v>
      </c>
      <c r="F52" s="130">
        <v>112</v>
      </c>
      <c r="G52" s="130">
        <v>32</v>
      </c>
      <c r="H52" s="130">
        <v>32</v>
      </c>
      <c r="I52" s="130">
        <v>22</v>
      </c>
      <c r="J52" s="130">
        <v>30</v>
      </c>
      <c r="K52" s="130">
        <v>23</v>
      </c>
      <c r="L52" s="130">
        <v>8</v>
      </c>
      <c r="M52" s="140">
        <v>4</v>
      </c>
      <c r="N52" s="130">
        <v>25</v>
      </c>
      <c r="O52" s="130">
        <v>9</v>
      </c>
      <c r="P52" s="131"/>
    </row>
    <row r="53" spans="1:18" x14ac:dyDescent="0.2">
      <c r="A53" s="270"/>
      <c r="B53" s="114">
        <f t="shared" si="25"/>
        <v>19.801980198019802</v>
      </c>
      <c r="C53" s="125">
        <v>70</v>
      </c>
      <c r="D53" s="126">
        <v>64.0625</v>
      </c>
      <c r="E53" s="126">
        <v>33.125</v>
      </c>
      <c r="F53" s="126">
        <v>35</v>
      </c>
      <c r="G53" s="126">
        <v>10</v>
      </c>
      <c r="H53" s="126">
        <v>10</v>
      </c>
      <c r="I53" s="126">
        <v>6.8750000000000009</v>
      </c>
      <c r="J53" s="126">
        <v>9.375</v>
      </c>
      <c r="K53" s="126">
        <v>7.1874999999999991</v>
      </c>
      <c r="L53" s="126">
        <v>2.5</v>
      </c>
      <c r="M53" s="127">
        <v>1.25</v>
      </c>
      <c r="N53" s="126">
        <v>7.8125</v>
      </c>
      <c r="O53" s="126">
        <v>2.8125</v>
      </c>
      <c r="P53" s="128"/>
    </row>
    <row r="54" spans="1:18" x14ac:dyDescent="0.2">
      <c r="A54" s="269" t="str">
        <f>A34</f>
        <v>60～69歳(n = 352 )　　</v>
      </c>
      <c r="B54" s="113">
        <f t="shared" si="25"/>
        <v>352</v>
      </c>
      <c r="C54" s="129">
        <v>221</v>
      </c>
      <c r="D54" s="130">
        <v>286</v>
      </c>
      <c r="E54" s="130">
        <v>71</v>
      </c>
      <c r="F54" s="130">
        <v>103</v>
      </c>
      <c r="G54" s="130">
        <v>8</v>
      </c>
      <c r="H54" s="130">
        <v>39</v>
      </c>
      <c r="I54" s="130">
        <v>40</v>
      </c>
      <c r="J54" s="130">
        <v>25</v>
      </c>
      <c r="K54" s="130">
        <v>21</v>
      </c>
      <c r="L54" s="130">
        <v>8</v>
      </c>
      <c r="M54" s="140">
        <v>6</v>
      </c>
      <c r="N54" s="130">
        <v>21</v>
      </c>
      <c r="O54" s="130">
        <v>15</v>
      </c>
      <c r="P54" s="131"/>
    </row>
    <row r="55" spans="1:18" x14ac:dyDescent="0.2">
      <c r="A55" s="270"/>
      <c r="B55" s="114">
        <f t="shared" si="25"/>
        <v>21.782178217821784</v>
      </c>
      <c r="C55" s="125">
        <v>62.784090909090907</v>
      </c>
      <c r="D55" s="126">
        <v>81.25</v>
      </c>
      <c r="E55" s="126">
        <v>20.170454545454543</v>
      </c>
      <c r="F55" s="126">
        <v>29.261363636363637</v>
      </c>
      <c r="G55" s="126">
        <v>2.2727272727272729</v>
      </c>
      <c r="H55" s="126">
        <v>11.079545454545455</v>
      </c>
      <c r="I55" s="126">
        <v>11.363636363636363</v>
      </c>
      <c r="J55" s="126">
        <v>7.1022727272727275</v>
      </c>
      <c r="K55" s="126">
        <v>5.9659090909090908</v>
      </c>
      <c r="L55" s="126">
        <v>2.2727272727272729</v>
      </c>
      <c r="M55" s="127">
        <v>1.7045454545454544</v>
      </c>
      <c r="N55" s="126">
        <v>5.9659090909090908</v>
      </c>
      <c r="O55" s="126">
        <v>4.2613636363636358</v>
      </c>
      <c r="P55" s="128"/>
    </row>
    <row r="56" spans="1:18" x14ac:dyDescent="0.2">
      <c r="A56" s="269" t="str">
        <f>A36</f>
        <v>70歳以上(n = 315 )　　</v>
      </c>
      <c r="B56" s="113">
        <f t="shared" si="25"/>
        <v>315</v>
      </c>
      <c r="C56" s="129">
        <v>153</v>
      </c>
      <c r="D56" s="130">
        <v>276</v>
      </c>
      <c r="E56" s="130">
        <v>40</v>
      </c>
      <c r="F56" s="130">
        <v>108</v>
      </c>
      <c r="G56" s="130">
        <v>5</v>
      </c>
      <c r="H56" s="130">
        <v>58</v>
      </c>
      <c r="I56" s="130">
        <v>29</v>
      </c>
      <c r="J56" s="130">
        <v>21</v>
      </c>
      <c r="K56" s="130">
        <v>21</v>
      </c>
      <c r="L56" s="130">
        <v>2</v>
      </c>
      <c r="M56" s="140">
        <v>1</v>
      </c>
      <c r="N56" s="130">
        <v>15</v>
      </c>
      <c r="O56" s="130">
        <v>12</v>
      </c>
      <c r="P56" s="131"/>
      <c r="Q56" s="166">
        <f>SUM(C56:P56)</f>
        <v>741</v>
      </c>
    </row>
    <row r="57" spans="1:18" x14ac:dyDescent="0.2">
      <c r="A57" s="270"/>
      <c r="B57" s="114">
        <f t="shared" si="25"/>
        <v>19.492574257425744</v>
      </c>
      <c r="C57" s="125">
        <v>48.571428571428569</v>
      </c>
      <c r="D57" s="126">
        <v>87.61904761904762</v>
      </c>
      <c r="E57" s="126">
        <v>12.698412698412698</v>
      </c>
      <c r="F57" s="126">
        <v>34.285714285714285</v>
      </c>
      <c r="G57" s="126">
        <v>1.5873015873015872</v>
      </c>
      <c r="H57" s="126">
        <v>18.412698412698415</v>
      </c>
      <c r="I57" s="126">
        <v>9.2063492063492074</v>
      </c>
      <c r="J57" s="126">
        <v>6.666666666666667</v>
      </c>
      <c r="K57" s="126">
        <v>6.666666666666667</v>
      </c>
      <c r="L57" s="126">
        <v>0.63492063492063489</v>
      </c>
      <c r="M57" s="127">
        <v>0.31746031746031744</v>
      </c>
      <c r="N57" s="126">
        <v>4.7619047619047619</v>
      </c>
      <c r="O57" s="126">
        <v>3.8095238095238098</v>
      </c>
      <c r="P57" s="128"/>
    </row>
    <row r="59" spans="1:18" x14ac:dyDescent="0.2">
      <c r="A59" s="3" t="s">
        <v>162</v>
      </c>
      <c r="B59" s="1" t="str">
        <f>B20</f>
        <v>生活面での不安</v>
      </c>
      <c r="C59" s="8"/>
      <c r="D59" s="9" t="s">
        <v>198</v>
      </c>
      <c r="E59" s="8"/>
      <c r="F59" s="8"/>
      <c r="G59" s="8"/>
      <c r="H59" s="9" t="s">
        <v>198</v>
      </c>
      <c r="I59" s="8"/>
      <c r="J59" s="8"/>
      <c r="K59" s="8"/>
      <c r="L59" s="8"/>
      <c r="M59" s="8"/>
      <c r="N59" s="8"/>
      <c r="O59" s="8"/>
      <c r="P59" s="8"/>
    </row>
    <row r="60" spans="1:18" ht="86.4" x14ac:dyDescent="0.2">
      <c r="A60" s="13" t="s">
        <v>27</v>
      </c>
      <c r="B60" s="59" t="str">
        <f>B21</f>
        <v>調査数</v>
      </c>
      <c r="C60" s="60" t="str">
        <f t="shared" ref="C60:O60" si="31">C21</f>
        <v>健康・体力</v>
      </c>
      <c r="D60" s="61" t="str">
        <f t="shared" si="31"/>
        <v>収入・貯蓄</v>
      </c>
      <c r="E60" s="61" t="str">
        <f t="shared" si="31"/>
        <v>仕事</v>
      </c>
      <c r="F60" s="61" t="str">
        <f t="shared" si="31"/>
        <v>就職</v>
      </c>
      <c r="G60" s="61" t="str">
        <f t="shared" si="31"/>
        <v>結婚</v>
      </c>
      <c r="H60" s="61" t="str">
        <f t="shared" si="31"/>
        <v>子育て・子どもの教育</v>
      </c>
      <c r="I60" s="61" t="str">
        <f t="shared" si="31"/>
        <v>介護</v>
      </c>
      <c r="J60" s="61" t="str">
        <f t="shared" si="31"/>
        <v>家庭での人間関係</v>
      </c>
      <c r="K60" s="61" t="str">
        <f t="shared" si="31"/>
        <v>地域での人間関係</v>
      </c>
      <c r="L60" s="61" t="str">
        <f t="shared" si="31"/>
        <v>住宅</v>
      </c>
      <c r="M60" s="61" t="str">
        <f t="shared" si="31"/>
        <v>地域の住環境（上下水道、公園、
        道路、公共交通機関など）</v>
      </c>
      <c r="N60" s="62" t="str">
        <f t="shared" si="31"/>
        <v>その他</v>
      </c>
      <c r="O60" s="62" t="str">
        <f t="shared" si="31"/>
        <v>特にない</v>
      </c>
      <c r="P60" s="63"/>
      <c r="Q60" s="103" t="s">
        <v>118</v>
      </c>
      <c r="R60" s="202"/>
    </row>
    <row r="61" spans="1:18" x14ac:dyDescent="0.2">
      <c r="A61" s="269" t="str">
        <f>'問2S（表）'!A52</f>
        <v>全体(n = 1,616 )　　</v>
      </c>
      <c r="B61" s="34">
        <f>'問2S（表）'!B52</f>
        <v>1616</v>
      </c>
      <c r="C61" s="31">
        <f t="shared" ref="C61:O61" si="32">SUM(C63,C65,C67,C69,C71)</f>
        <v>1024</v>
      </c>
      <c r="D61" s="32">
        <f t="shared" si="32"/>
        <v>1031</v>
      </c>
      <c r="E61" s="32">
        <f t="shared" si="32"/>
        <v>448</v>
      </c>
      <c r="F61" s="32">
        <f t="shared" si="32"/>
        <v>42</v>
      </c>
      <c r="G61" s="32">
        <f t="shared" si="32"/>
        <v>67</v>
      </c>
      <c r="H61" s="32">
        <f t="shared" si="32"/>
        <v>259</v>
      </c>
      <c r="I61" s="32">
        <f t="shared" si="32"/>
        <v>394</v>
      </c>
      <c r="J61" s="32">
        <f t="shared" si="32"/>
        <v>109</v>
      </c>
      <c r="K61" s="32">
        <f t="shared" si="32"/>
        <v>110</v>
      </c>
      <c r="L61" s="32">
        <f t="shared" si="32"/>
        <v>136</v>
      </c>
      <c r="M61" s="32">
        <f t="shared" si="32"/>
        <v>193</v>
      </c>
      <c r="N61" s="32">
        <f t="shared" si="32"/>
        <v>77</v>
      </c>
      <c r="O61" s="32">
        <f t="shared" si="32"/>
        <v>62</v>
      </c>
      <c r="P61" s="33"/>
      <c r="Q61" s="104">
        <f>SUM(C61:P61)</f>
        <v>3952</v>
      </c>
      <c r="R61" s="166"/>
    </row>
    <row r="62" spans="1:18" ht="13.5" customHeight="1" x14ac:dyDescent="0.2">
      <c r="A62" s="270"/>
      <c r="B62" s="35">
        <v>100</v>
      </c>
      <c r="C62" s="20">
        <f t="shared" ref="C62" si="33">C61/$B61*100</f>
        <v>63.366336633663366</v>
      </c>
      <c r="D62" s="207">
        <f t="shared" ref="D62" si="34">D61/$B61*100</f>
        <v>63.799504950495049</v>
      </c>
      <c r="E62" s="207">
        <f t="shared" ref="E62" si="35">E61/$B61*100</f>
        <v>27.722772277227726</v>
      </c>
      <c r="F62" s="207">
        <f t="shared" ref="F62" si="36">F61/$B61*100</f>
        <v>2.5990099009900991</v>
      </c>
      <c r="G62" s="207">
        <f t="shared" ref="G62" si="37">G61/$B61*100</f>
        <v>4.1460396039603964</v>
      </c>
      <c r="H62" s="207">
        <f t="shared" ref="H62" si="38">H61/$B61*100</f>
        <v>16.027227722772277</v>
      </c>
      <c r="I62" s="207">
        <f t="shared" ref="I62" si="39">I61/$B61*100</f>
        <v>24.381188118811881</v>
      </c>
      <c r="J62" s="207">
        <f t="shared" ref="J62" si="40">J61/$B61*100</f>
        <v>6.7450495049504955</v>
      </c>
      <c r="K62" s="207">
        <f t="shared" ref="K62" si="41">K61/$B61*100</f>
        <v>6.8069306930693072</v>
      </c>
      <c r="L62" s="207">
        <f t="shared" ref="L62" si="42">L61/$B61*100</f>
        <v>8.4158415841584162</v>
      </c>
      <c r="M62" s="207">
        <f t="shared" ref="M62:M64" si="43">M61/$B61*100</f>
        <v>11.943069306930692</v>
      </c>
      <c r="N62" s="207">
        <f t="shared" ref="N62" si="44">N61/$B61*100</f>
        <v>4.7648514851485153</v>
      </c>
      <c r="O62" s="207">
        <f t="shared" ref="O62" si="45">O61/$B61*100</f>
        <v>3.8366336633663365</v>
      </c>
      <c r="P62" s="208"/>
      <c r="Q62" s="104"/>
    </row>
    <row r="63" spans="1:18" ht="13.5" customHeight="1" x14ac:dyDescent="0.2">
      <c r="A63" s="269" t="str">
        <f>'問2S（表）'!A54</f>
        <v>岐阜圏域(n = 617 )　　</v>
      </c>
      <c r="B63" s="34">
        <f>'問2S（表）'!B54</f>
        <v>617</v>
      </c>
      <c r="C63" s="31">
        <v>392</v>
      </c>
      <c r="D63" s="32">
        <v>418</v>
      </c>
      <c r="E63" s="32">
        <v>174</v>
      </c>
      <c r="F63" s="32">
        <v>19</v>
      </c>
      <c r="G63" s="32">
        <v>22</v>
      </c>
      <c r="H63" s="32">
        <v>115</v>
      </c>
      <c r="I63" s="32">
        <v>159</v>
      </c>
      <c r="J63" s="32">
        <v>43</v>
      </c>
      <c r="K63" s="32">
        <v>32</v>
      </c>
      <c r="L63" s="32">
        <v>53</v>
      </c>
      <c r="M63" s="32">
        <v>70</v>
      </c>
      <c r="N63" s="32">
        <v>26</v>
      </c>
      <c r="O63" s="32">
        <v>27</v>
      </c>
      <c r="P63" s="33"/>
      <c r="Q63" s="206">
        <f>SUM(C63:P63)</f>
        <v>1550</v>
      </c>
      <c r="R63" s="205" t="str">
        <f>" 岐阜圏域（N = "&amp;Q64&amp;" : n = "&amp;B63&amp;"）"</f>
        <v xml:space="preserve"> 岐阜圏域（N = 1,550 : n = 617）</v>
      </c>
    </row>
    <row r="64" spans="1:18" x14ac:dyDescent="0.2">
      <c r="A64" s="270"/>
      <c r="B64" s="20">
        <f>B63/$B$61*100</f>
        <v>38.180693069306933</v>
      </c>
      <c r="C64" s="20">
        <f t="shared" ref="C64" si="46">C63/$B63*100</f>
        <v>63.533225283630465</v>
      </c>
      <c r="D64" s="207">
        <f t="shared" ref="D64" si="47">D63/$B63*100</f>
        <v>67.747163695299832</v>
      </c>
      <c r="E64" s="207">
        <f t="shared" ref="E64" si="48">E63/$B63*100</f>
        <v>28.200972447325768</v>
      </c>
      <c r="F64" s="207">
        <f t="shared" ref="F64" si="49">F63/$B63*100</f>
        <v>3.0794165316045379</v>
      </c>
      <c r="G64" s="207">
        <f t="shared" ref="G64" si="50">G63/$B63*100</f>
        <v>3.5656401944894651</v>
      </c>
      <c r="H64" s="207">
        <f t="shared" ref="H64" si="51">H63/$B63*100</f>
        <v>18.638573743922205</v>
      </c>
      <c r="I64" s="207">
        <f t="shared" ref="I64" si="52">I63/$B63*100</f>
        <v>25.769854132901131</v>
      </c>
      <c r="J64" s="207">
        <f t="shared" ref="J64" si="53">J63/$B63*100</f>
        <v>6.9692058346839545</v>
      </c>
      <c r="K64" s="207">
        <f t="shared" ref="K64" si="54">K63/$B63*100</f>
        <v>5.1863857374392222</v>
      </c>
      <c r="L64" s="207">
        <f t="shared" ref="L64" si="55">L63/$B63*100</f>
        <v>8.589951377633712</v>
      </c>
      <c r="M64" s="207">
        <f t="shared" si="43"/>
        <v>11.345218800648297</v>
      </c>
      <c r="N64" s="207">
        <f t="shared" ref="N64" si="56">N63/$B63*100</f>
        <v>4.2139384116693677</v>
      </c>
      <c r="O64" s="207">
        <f t="shared" ref="O64" si="57">O63/$B63*100</f>
        <v>4.3760129659643443</v>
      </c>
      <c r="P64" s="208"/>
      <c r="Q64" s="204" t="s">
        <v>257</v>
      </c>
    </row>
    <row r="65" spans="1:31" ht="13.5" customHeight="1" x14ac:dyDescent="0.2">
      <c r="A65" s="269" t="str">
        <f>'問2S（表）'!A56</f>
        <v>西濃圏域(n = 290 )　　</v>
      </c>
      <c r="B65" s="34">
        <f>'問2S（表）'!B56</f>
        <v>290</v>
      </c>
      <c r="C65" s="31">
        <v>196</v>
      </c>
      <c r="D65" s="32">
        <v>175</v>
      </c>
      <c r="E65" s="32">
        <v>78</v>
      </c>
      <c r="F65" s="32">
        <v>5</v>
      </c>
      <c r="G65" s="32">
        <v>13</v>
      </c>
      <c r="H65" s="32">
        <v>46</v>
      </c>
      <c r="I65" s="32">
        <v>79</v>
      </c>
      <c r="J65" s="32">
        <v>23</v>
      </c>
      <c r="K65" s="32">
        <v>27</v>
      </c>
      <c r="L65" s="32">
        <v>30</v>
      </c>
      <c r="M65" s="32">
        <v>30</v>
      </c>
      <c r="N65" s="32">
        <v>15</v>
      </c>
      <c r="O65" s="32">
        <v>7</v>
      </c>
      <c r="P65" s="33"/>
      <c r="Q65" s="104">
        <f>SUM(C65:P65)</f>
        <v>724</v>
      </c>
      <c r="R65" t="str">
        <f>" 西濃圏域（N = "&amp;Q65&amp;" : n = "&amp;B65&amp;"）"</f>
        <v xml:space="preserve"> 西濃圏域（N = 724 : n = 290）</v>
      </c>
    </row>
    <row r="66" spans="1:31" x14ac:dyDescent="0.2">
      <c r="A66" s="270"/>
      <c r="B66" s="20">
        <f>B65/$B$61*100</f>
        <v>17.945544554455445</v>
      </c>
      <c r="C66" s="20">
        <f t="shared" ref="C66" si="58">C65/$B65*100</f>
        <v>67.58620689655173</v>
      </c>
      <c r="D66" s="207">
        <f t="shared" ref="D66" si="59">D65/$B65*100</f>
        <v>60.344827586206897</v>
      </c>
      <c r="E66" s="207">
        <f t="shared" ref="E66" si="60">E65/$B65*100</f>
        <v>26.896551724137929</v>
      </c>
      <c r="F66" s="207">
        <f t="shared" ref="F66" si="61">F65/$B65*100</f>
        <v>1.7241379310344827</v>
      </c>
      <c r="G66" s="207">
        <f t="shared" ref="G66" si="62">G65/$B65*100</f>
        <v>4.4827586206896548</v>
      </c>
      <c r="H66" s="207">
        <f t="shared" ref="H66" si="63">H65/$B65*100</f>
        <v>15.862068965517242</v>
      </c>
      <c r="I66" s="207">
        <f t="shared" ref="I66" si="64">I65/$B65*100</f>
        <v>27.241379310344826</v>
      </c>
      <c r="J66" s="207">
        <f t="shared" ref="J66" si="65">J65/$B65*100</f>
        <v>7.931034482758621</v>
      </c>
      <c r="K66" s="207">
        <f t="shared" ref="K66" si="66">K65/$B65*100</f>
        <v>9.3103448275862082</v>
      </c>
      <c r="L66" s="207">
        <f t="shared" ref="L66" si="67">L65/$B65*100</f>
        <v>10.344827586206897</v>
      </c>
      <c r="M66" s="207">
        <f t="shared" ref="M66" si="68">M65/$B65*100</f>
        <v>10.344827586206897</v>
      </c>
      <c r="N66" s="207">
        <f t="shared" ref="N66" si="69">N65/$B65*100</f>
        <v>5.1724137931034484</v>
      </c>
      <c r="O66" s="207">
        <f t="shared" ref="O66" si="70">O65/$B65*100</f>
        <v>2.4137931034482758</v>
      </c>
      <c r="P66" s="208"/>
      <c r="Q66" s="104"/>
    </row>
    <row r="67" spans="1:31" ht="13.5" customHeight="1" x14ac:dyDescent="0.2">
      <c r="A67" s="269" t="str">
        <f>'問2S（表）'!A58</f>
        <v>中濃圏域(n = 300 )　　</v>
      </c>
      <c r="B67" s="34">
        <f>'問2S（表）'!B58</f>
        <v>300</v>
      </c>
      <c r="C67" s="31">
        <v>202</v>
      </c>
      <c r="D67" s="32">
        <v>214</v>
      </c>
      <c r="E67" s="32">
        <v>86</v>
      </c>
      <c r="F67" s="32">
        <v>10</v>
      </c>
      <c r="G67" s="32">
        <v>14</v>
      </c>
      <c r="H67" s="32">
        <v>41</v>
      </c>
      <c r="I67" s="32">
        <v>70</v>
      </c>
      <c r="J67" s="32">
        <v>22</v>
      </c>
      <c r="K67" s="32">
        <v>22</v>
      </c>
      <c r="L67" s="32">
        <v>20</v>
      </c>
      <c r="M67" s="32">
        <v>43</v>
      </c>
      <c r="N67" s="32">
        <v>15</v>
      </c>
      <c r="O67" s="32">
        <v>7</v>
      </c>
      <c r="P67" s="33"/>
      <c r="Q67" s="104">
        <f>SUM(C67:P67)</f>
        <v>766</v>
      </c>
      <c r="R67" t="str">
        <f>" 中濃圏域（N = "&amp;Q67&amp;" : n = "&amp;B67&amp;"）"</f>
        <v xml:space="preserve"> 中濃圏域（N = 766 : n = 300）</v>
      </c>
    </row>
    <row r="68" spans="1:31" x14ac:dyDescent="0.2">
      <c r="A68" s="270"/>
      <c r="B68" s="20">
        <f>B67/$B$61*100</f>
        <v>18.564356435643564</v>
      </c>
      <c r="C68" s="20">
        <f t="shared" ref="C68" si="71">C67/$B67*100</f>
        <v>67.333333333333329</v>
      </c>
      <c r="D68" s="207">
        <f t="shared" ref="D68" si="72">D67/$B67*100</f>
        <v>71.333333333333343</v>
      </c>
      <c r="E68" s="207">
        <f t="shared" ref="E68" si="73">E67/$B67*100</f>
        <v>28.666666666666668</v>
      </c>
      <c r="F68" s="207">
        <f t="shared" ref="F68" si="74">F67/$B67*100</f>
        <v>3.3333333333333335</v>
      </c>
      <c r="G68" s="207">
        <f t="shared" ref="G68" si="75">G67/$B67*100</f>
        <v>4.666666666666667</v>
      </c>
      <c r="H68" s="207">
        <f t="shared" ref="H68" si="76">H67/$B67*100</f>
        <v>13.666666666666666</v>
      </c>
      <c r="I68" s="207">
        <f t="shared" ref="I68" si="77">I67/$B67*100</f>
        <v>23.333333333333332</v>
      </c>
      <c r="J68" s="207">
        <f t="shared" ref="J68" si="78">J67/$B67*100</f>
        <v>7.333333333333333</v>
      </c>
      <c r="K68" s="207">
        <f t="shared" ref="K68" si="79">K67/$B67*100</f>
        <v>7.333333333333333</v>
      </c>
      <c r="L68" s="207">
        <f t="shared" ref="L68" si="80">L67/$B67*100</f>
        <v>6.666666666666667</v>
      </c>
      <c r="M68" s="207">
        <f t="shared" ref="M68" si="81">M67/$B67*100</f>
        <v>14.333333333333334</v>
      </c>
      <c r="N68" s="207">
        <f t="shared" ref="N68" si="82">N67/$B67*100</f>
        <v>5</v>
      </c>
      <c r="O68" s="207">
        <f t="shared" ref="O68" si="83">O67/$B67*100</f>
        <v>2.3333333333333335</v>
      </c>
      <c r="P68" s="208"/>
      <c r="Q68" s="104"/>
    </row>
    <row r="69" spans="1:31" ht="13.5" customHeight="1" x14ac:dyDescent="0.2">
      <c r="A69" s="269" t="str">
        <f>'問2S（表）'!A60</f>
        <v>東濃圏域(n = 271 )　　</v>
      </c>
      <c r="B69" s="34">
        <f>'問2S（表）'!B60</f>
        <v>271</v>
      </c>
      <c r="C69" s="31">
        <v>171</v>
      </c>
      <c r="D69" s="32">
        <v>160</v>
      </c>
      <c r="E69" s="32">
        <v>79</v>
      </c>
      <c r="F69" s="32">
        <v>6</v>
      </c>
      <c r="G69" s="32">
        <v>12</v>
      </c>
      <c r="H69" s="32">
        <v>38</v>
      </c>
      <c r="I69" s="32">
        <v>59</v>
      </c>
      <c r="J69" s="32">
        <v>14</v>
      </c>
      <c r="K69" s="32">
        <v>21</v>
      </c>
      <c r="L69" s="32">
        <v>22</v>
      </c>
      <c r="M69" s="32">
        <v>41</v>
      </c>
      <c r="N69" s="32">
        <v>13</v>
      </c>
      <c r="O69" s="32">
        <v>15</v>
      </c>
      <c r="P69" s="33"/>
      <c r="Q69" s="104">
        <f>SUM(C69:P69)</f>
        <v>651</v>
      </c>
      <c r="R69" t="str">
        <f>" 東濃圏域（N = "&amp;Q69&amp;" : n = "&amp;B69&amp;"）"</f>
        <v xml:space="preserve"> 東濃圏域（N = 651 : n = 271）</v>
      </c>
    </row>
    <row r="70" spans="1:31" x14ac:dyDescent="0.2">
      <c r="A70" s="270"/>
      <c r="B70" s="20">
        <f>B69/$B$61*100</f>
        <v>16.769801980198022</v>
      </c>
      <c r="C70" s="20">
        <f t="shared" ref="C70" si="84">C69/$B69*100</f>
        <v>63.099630996309962</v>
      </c>
      <c r="D70" s="207">
        <f t="shared" ref="D70" si="85">D69/$B69*100</f>
        <v>59.040590405904055</v>
      </c>
      <c r="E70" s="207">
        <f t="shared" ref="E70" si="86">E69/$B69*100</f>
        <v>29.15129151291513</v>
      </c>
      <c r="F70" s="207">
        <f t="shared" ref="F70" si="87">F69/$B69*100</f>
        <v>2.214022140221402</v>
      </c>
      <c r="G70" s="207">
        <f t="shared" ref="G70" si="88">G69/$B69*100</f>
        <v>4.428044280442804</v>
      </c>
      <c r="H70" s="207">
        <f t="shared" ref="H70" si="89">H69/$B69*100</f>
        <v>14.022140221402212</v>
      </c>
      <c r="I70" s="207">
        <f t="shared" ref="I70" si="90">I69/$B69*100</f>
        <v>21.771217712177123</v>
      </c>
      <c r="J70" s="207">
        <f t="shared" ref="J70" si="91">J69/$B69*100</f>
        <v>5.1660516605166054</v>
      </c>
      <c r="K70" s="207">
        <f t="shared" ref="K70" si="92">K69/$B69*100</f>
        <v>7.7490774907749085</v>
      </c>
      <c r="L70" s="207">
        <f t="shared" ref="L70" si="93">L69/$B69*100</f>
        <v>8.1180811808118083</v>
      </c>
      <c r="M70" s="207">
        <f t="shared" ref="M70" si="94">M69/$B69*100</f>
        <v>15.129151291512915</v>
      </c>
      <c r="N70" s="207">
        <f t="shared" ref="N70" si="95">N69/$B69*100</f>
        <v>4.7970479704797047</v>
      </c>
      <c r="O70" s="207">
        <f t="shared" ref="O70" si="96">O69/$B69*100</f>
        <v>5.5350553505535052</v>
      </c>
      <c r="P70" s="208"/>
      <c r="Q70" s="104"/>
    </row>
    <row r="71" spans="1:31" ht="13.5" customHeight="1" x14ac:dyDescent="0.2">
      <c r="A71" s="269" t="str">
        <f>'問2S（表）'!A62</f>
        <v>飛騨圏域(n = 106 )　　</v>
      </c>
      <c r="B71" s="34">
        <f>'問2S（表）'!B62</f>
        <v>106</v>
      </c>
      <c r="C71" s="31">
        <v>63</v>
      </c>
      <c r="D71" s="32">
        <v>64</v>
      </c>
      <c r="E71" s="32">
        <v>31</v>
      </c>
      <c r="F71" s="32">
        <v>2</v>
      </c>
      <c r="G71" s="32">
        <v>6</v>
      </c>
      <c r="H71" s="32">
        <v>19</v>
      </c>
      <c r="I71" s="32">
        <v>27</v>
      </c>
      <c r="J71" s="32">
        <v>7</v>
      </c>
      <c r="K71" s="32">
        <v>8</v>
      </c>
      <c r="L71" s="32">
        <v>11</v>
      </c>
      <c r="M71" s="32">
        <v>9</v>
      </c>
      <c r="N71" s="32">
        <v>8</v>
      </c>
      <c r="O71" s="32">
        <v>6</v>
      </c>
      <c r="P71" s="33"/>
      <c r="Q71" s="104">
        <f>SUM(C71:P71)</f>
        <v>261</v>
      </c>
      <c r="R71" t="str">
        <f>" 飛騨圏域（N = "&amp;Q71&amp;" : n = "&amp;B71&amp;"）"</f>
        <v xml:space="preserve"> 飛騨圏域（N = 261 : n = 106）</v>
      </c>
    </row>
    <row r="72" spans="1:31" ht="12.75" customHeight="1" x14ac:dyDescent="0.2">
      <c r="A72" s="270"/>
      <c r="B72" s="20">
        <f>B71/$B$61*100</f>
        <v>6.5594059405940595</v>
      </c>
      <c r="C72" s="20">
        <f t="shared" ref="C72" si="97">C71/$B71*100</f>
        <v>59.433962264150942</v>
      </c>
      <c r="D72" s="207">
        <f t="shared" ref="D72" si="98">D71/$B71*100</f>
        <v>60.377358490566039</v>
      </c>
      <c r="E72" s="207">
        <f t="shared" ref="E72" si="99">E71/$B71*100</f>
        <v>29.245283018867923</v>
      </c>
      <c r="F72" s="207">
        <f t="shared" ref="F72" si="100">F71/$B71*100</f>
        <v>1.8867924528301887</v>
      </c>
      <c r="G72" s="207">
        <f t="shared" ref="G72" si="101">G71/$B71*100</f>
        <v>5.6603773584905666</v>
      </c>
      <c r="H72" s="207">
        <f t="shared" ref="H72" si="102">H71/$B71*100</f>
        <v>17.924528301886792</v>
      </c>
      <c r="I72" s="207">
        <f t="shared" ref="I72" si="103">I71/$B71*100</f>
        <v>25.471698113207548</v>
      </c>
      <c r="J72" s="207">
        <f t="shared" ref="J72" si="104">J71/$B71*100</f>
        <v>6.6037735849056602</v>
      </c>
      <c r="K72" s="207">
        <f t="shared" ref="K72" si="105">K71/$B71*100</f>
        <v>7.5471698113207548</v>
      </c>
      <c r="L72" s="207">
        <f t="shared" ref="L72" si="106">L71/$B71*100</f>
        <v>10.377358490566039</v>
      </c>
      <c r="M72" s="207">
        <f t="shared" ref="M72" si="107">M71/$B71*100</f>
        <v>8.4905660377358494</v>
      </c>
      <c r="N72" s="207">
        <f t="shared" ref="N72" si="108">N71/$B71*100</f>
        <v>7.5471698113207548</v>
      </c>
      <c r="O72" s="207">
        <f t="shared" ref="O72" si="109">O71/$B71*100</f>
        <v>5.6603773584905666</v>
      </c>
      <c r="P72" s="208"/>
      <c r="Q72" s="104"/>
    </row>
    <row r="73" spans="1:31" s="183" customFormat="1" x14ac:dyDescent="0.2">
      <c r="A73" s="181"/>
      <c r="B73" s="182"/>
      <c r="C73" s="172">
        <f>_xlfn.RANK.EQ(C62,$C$62:$P$62,0)</f>
        <v>2</v>
      </c>
      <c r="D73" s="172">
        <f t="shared" ref="D73:P73" si="110">_xlfn.RANK.EQ(D62,$C$62:$P$62,0)</f>
        <v>1</v>
      </c>
      <c r="E73" s="172">
        <f t="shared" si="110"/>
        <v>3</v>
      </c>
      <c r="F73" s="172">
        <f t="shared" si="110"/>
        <v>13</v>
      </c>
      <c r="G73" s="172">
        <f t="shared" si="110"/>
        <v>11</v>
      </c>
      <c r="H73" s="172">
        <f t="shared" si="110"/>
        <v>5</v>
      </c>
      <c r="I73" s="172">
        <f t="shared" si="110"/>
        <v>4</v>
      </c>
      <c r="J73" s="172">
        <f t="shared" si="110"/>
        <v>9</v>
      </c>
      <c r="K73" s="172">
        <f t="shared" si="110"/>
        <v>8</v>
      </c>
      <c r="L73" s="172">
        <f t="shared" si="110"/>
        <v>7</v>
      </c>
      <c r="M73" s="172">
        <f t="shared" si="110"/>
        <v>6</v>
      </c>
      <c r="N73" s="172">
        <f t="shared" si="110"/>
        <v>10</v>
      </c>
      <c r="O73" s="172">
        <f t="shared" si="110"/>
        <v>12</v>
      </c>
      <c r="P73" s="172" t="e">
        <f t="shared" si="110"/>
        <v>#N/A</v>
      </c>
    </row>
    <row r="74" spans="1:31" ht="12.75" customHeight="1" x14ac:dyDescent="0.2">
      <c r="A74" s="26" t="s">
        <v>197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104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Q75" s="104"/>
      <c r="R75" s="45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8.25" customHeight="1" x14ac:dyDescent="0.2">
      <c r="A76" s="12" t="str">
        <f>A60</f>
        <v>【居住圏域別】</v>
      </c>
      <c r="B76" s="59" t="s">
        <v>157</v>
      </c>
      <c r="C76" s="60" t="s">
        <v>205</v>
      </c>
      <c r="D76" s="61" t="s">
        <v>204</v>
      </c>
      <c r="E76" s="61" t="s">
        <v>206</v>
      </c>
      <c r="F76" s="61" t="s">
        <v>53</v>
      </c>
      <c r="G76" s="61" t="s">
        <v>52</v>
      </c>
      <c r="H76" s="61" t="s">
        <v>207</v>
      </c>
      <c r="I76" s="61" t="s">
        <v>56</v>
      </c>
      <c r="J76" s="61" t="s">
        <v>55</v>
      </c>
      <c r="K76" s="61" t="s">
        <v>54</v>
      </c>
      <c r="L76" s="61" t="s">
        <v>51</v>
      </c>
      <c r="M76" s="62" t="s">
        <v>50</v>
      </c>
      <c r="N76" s="61" t="s">
        <v>57</v>
      </c>
      <c r="O76" s="62" t="s">
        <v>75</v>
      </c>
      <c r="P76" s="63"/>
      <c r="Q76" s="44" t="s">
        <v>32</v>
      </c>
      <c r="R76" s="12" t="str">
        <f>A76</f>
        <v>【居住圏域別】</v>
      </c>
      <c r="S76" s="60" t="str">
        <f>C76</f>
        <v>収入・貯蓄</v>
      </c>
      <c r="T76" s="61" t="str">
        <f t="shared" ref="T76:AE76" si="111">D76</f>
        <v>健康・体力</v>
      </c>
      <c r="U76" s="61" t="str">
        <f t="shared" si="111"/>
        <v>仕事</v>
      </c>
      <c r="V76" s="61" t="str">
        <f t="shared" si="111"/>
        <v>介護</v>
      </c>
      <c r="W76" s="61" t="str">
        <f t="shared" si="111"/>
        <v>子育て・子どもの教育</v>
      </c>
      <c r="X76" s="61" t="str">
        <f t="shared" si="111"/>
        <v>地域の住環境（上下水道、公園、
        道路、公共交通機関など）</v>
      </c>
      <c r="Y76" s="62" t="str">
        <f t="shared" si="111"/>
        <v>住宅</v>
      </c>
      <c r="Z76" s="106" t="str">
        <f t="shared" si="111"/>
        <v>地域での人間関係</v>
      </c>
      <c r="AA76" s="61" t="str">
        <f t="shared" si="111"/>
        <v>家庭での人間関係</v>
      </c>
      <c r="AB76" s="61" t="str">
        <f t="shared" si="111"/>
        <v>結婚</v>
      </c>
      <c r="AC76" s="61" t="str">
        <f t="shared" si="111"/>
        <v>就職</v>
      </c>
      <c r="AD76" s="62" t="str">
        <f t="shared" si="111"/>
        <v>その他</v>
      </c>
      <c r="AE76" s="63" t="str">
        <f t="shared" si="111"/>
        <v>特にない</v>
      </c>
    </row>
    <row r="77" spans="1:31" ht="12.75" customHeight="1" x14ac:dyDescent="0.2">
      <c r="A77" s="269" t="str">
        <f>A61</f>
        <v>全体(n = 1,616 )　　</v>
      </c>
      <c r="B77" s="113">
        <f>B61</f>
        <v>1616</v>
      </c>
      <c r="C77" s="121">
        <v>1031</v>
      </c>
      <c r="D77" s="122">
        <v>1024</v>
      </c>
      <c r="E77" s="122">
        <v>448</v>
      </c>
      <c r="F77" s="122">
        <v>394</v>
      </c>
      <c r="G77" s="122">
        <v>259</v>
      </c>
      <c r="H77" s="122">
        <v>193</v>
      </c>
      <c r="I77" s="122">
        <v>136</v>
      </c>
      <c r="J77" s="122">
        <v>110</v>
      </c>
      <c r="K77" s="122">
        <v>109</v>
      </c>
      <c r="L77" s="122">
        <v>67</v>
      </c>
      <c r="M77" s="123">
        <v>42</v>
      </c>
      <c r="N77" s="122">
        <v>77</v>
      </c>
      <c r="O77" s="123">
        <v>62</v>
      </c>
      <c r="P77" s="124"/>
      <c r="Q77" s="166">
        <f>SUM(C77:P77)</f>
        <v>3952</v>
      </c>
      <c r="R77" s="93" t="str">
        <f>A79</f>
        <v>岐阜圏域(n = 617 )　　</v>
      </c>
      <c r="S77" s="84">
        <f>C80</f>
        <v>67.747163695299832</v>
      </c>
      <c r="T77" s="85">
        <f t="shared" ref="T77:AE77" si="112">D80</f>
        <v>63.533225283630465</v>
      </c>
      <c r="U77" s="85">
        <f t="shared" si="112"/>
        <v>28.200972447325768</v>
      </c>
      <c r="V77" s="85">
        <f t="shared" si="112"/>
        <v>25.769854132901131</v>
      </c>
      <c r="W77" s="85">
        <f t="shared" si="112"/>
        <v>18.638573743922205</v>
      </c>
      <c r="X77" s="85">
        <f t="shared" si="112"/>
        <v>11.345218800648297</v>
      </c>
      <c r="Y77" s="86">
        <f t="shared" si="112"/>
        <v>8.589951377633712</v>
      </c>
      <c r="Z77" s="108">
        <f t="shared" si="112"/>
        <v>5.1863857374392222</v>
      </c>
      <c r="AA77" s="85">
        <f t="shared" si="112"/>
        <v>6.9692058346839545</v>
      </c>
      <c r="AB77" s="85">
        <f t="shared" si="112"/>
        <v>3.5656401944894651</v>
      </c>
      <c r="AC77" s="85">
        <f t="shared" si="112"/>
        <v>3.0794165316045379</v>
      </c>
      <c r="AD77" s="86">
        <f t="shared" si="112"/>
        <v>4.2139384116693677</v>
      </c>
      <c r="AE77" s="87">
        <f t="shared" si="112"/>
        <v>4.3760129659643443</v>
      </c>
    </row>
    <row r="78" spans="1:31" ht="12.75" customHeight="1" x14ac:dyDescent="0.2">
      <c r="A78" s="270"/>
      <c r="B78" s="114">
        <f>B62</f>
        <v>100</v>
      </c>
      <c r="C78" s="125">
        <v>63.799504950495049</v>
      </c>
      <c r="D78" s="126">
        <v>63.366336633663366</v>
      </c>
      <c r="E78" s="126">
        <v>27.722772277227726</v>
      </c>
      <c r="F78" s="126">
        <v>24.381188118811881</v>
      </c>
      <c r="G78" s="126">
        <v>16.027227722772277</v>
      </c>
      <c r="H78" s="126">
        <v>11.943069306930692</v>
      </c>
      <c r="I78" s="126">
        <v>8.4158415841584162</v>
      </c>
      <c r="J78" s="126">
        <v>6.8069306930693072</v>
      </c>
      <c r="K78" s="126">
        <v>6.7450495049504955</v>
      </c>
      <c r="L78" s="126">
        <v>4.1460396039603964</v>
      </c>
      <c r="M78" s="127">
        <v>2.5990099009900991</v>
      </c>
      <c r="N78" s="126">
        <v>4.7648514851485153</v>
      </c>
      <c r="O78" s="127">
        <v>3.8366336633663365</v>
      </c>
      <c r="P78" s="128"/>
      <c r="R78" s="95" t="str">
        <f>A81</f>
        <v>西濃圏域(n = 290 )　　</v>
      </c>
      <c r="S78" s="88">
        <f>C82</f>
        <v>60.344827586206897</v>
      </c>
      <c r="T78" s="89">
        <f t="shared" ref="T78:AE78" si="113">D82</f>
        <v>67.58620689655173</v>
      </c>
      <c r="U78" s="89">
        <f t="shared" si="113"/>
        <v>26.896551724137929</v>
      </c>
      <c r="V78" s="89">
        <f t="shared" si="113"/>
        <v>27.241379310344826</v>
      </c>
      <c r="W78" s="89">
        <f t="shared" si="113"/>
        <v>15.862068965517242</v>
      </c>
      <c r="X78" s="89">
        <f t="shared" si="113"/>
        <v>10.344827586206897</v>
      </c>
      <c r="Y78" s="90">
        <f t="shared" si="113"/>
        <v>10.344827586206897</v>
      </c>
      <c r="Z78" s="109">
        <f t="shared" si="113"/>
        <v>9.3103448275862082</v>
      </c>
      <c r="AA78" s="89">
        <f t="shared" si="113"/>
        <v>7.931034482758621</v>
      </c>
      <c r="AB78" s="89">
        <f t="shared" si="113"/>
        <v>4.4827586206896548</v>
      </c>
      <c r="AC78" s="89">
        <f t="shared" si="113"/>
        <v>1.7241379310344827</v>
      </c>
      <c r="AD78" s="90">
        <f t="shared" si="113"/>
        <v>5.1724137931034484</v>
      </c>
      <c r="AE78" s="91">
        <f t="shared" si="113"/>
        <v>2.4137931034482758</v>
      </c>
    </row>
    <row r="79" spans="1:31" ht="13.5" customHeight="1" x14ac:dyDescent="0.2">
      <c r="A79" s="269" t="str">
        <f>A63</f>
        <v>岐阜圏域(n = 617 )　　</v>
      </c>
      <c r="B79" s="113">
        <f t="shared" ref="B79:B88" si="114">B63</f>
        <v>617</v>
      </c>
      <c r="C79" s="129">
        <v>418</v>
      </c>
      <c r="D79" s="130">
        <v>392</v>
      </c>
      <c r="E79" s="130">
        <v>174</v>
      </c>
      <c r="F79" s="130">
        <v>159</v>
      </c>
      <c r="G79" s="130">
        <v>115</v>
      </c>
      <c r="H79" s="130">
        <v>70</v>
      </c>
      <c r="I79" s="130">
        <v>53</v>
      </c>
      <c r="J79" s="130">
        <v>32</v>
      </c>
      <c r="K79" s="130">
        <v>43</v>
      </c>
      <c r="L79" s="130">
        <v>22</v>
      </c>
      <c r="M79" s="140">
        <v>19</v>
      </c>
      <c r="N79" s="130">
        <v>26</v>
      </c>
      <c r="O79" s="130">
        <v>27</v>
      </c>
      <c r="P79" s="131"/>
      <c r="R79" s="95" t="str">
        <f>A83</f>
        <v>中濃圏域(n = 300 )　　</v>
      </c>
      <c r="S79" s="88">
        <f>C84</f>
        <v>71.333333333333343</v>
      </c>
      <c r="T79" s="89">
        <f t="shared" ref="T79:AE79" si="115">D84</f>
        <v>67.333333333333329</v>
      </c>
      <c r="U79" s="89">
        <f t="shared" si="115"/>
        <v>28.666666666666668</v>
      </c>
      <c r="V79" s="89">
        <f t="shared" si="115"/>
        <v>23.333333333333332</v>
      </c>
      <c r="W79" s="89">
        <f t="shared" si="115"/>
        <v>13.666666666666666</v>
      </c>
      <c r="X79" s="89">
        <f t="shared" si="115"/>
        <v>14.333333333333334</v>
      </c>
      <c r="Y79" s="90">
        <f t="shared" si="115"/>
        <v>6.666666666666667</v>
      </c>
      <c r="Z79" s="109">
        <f t="shared" si="115"/>
        <v>7.333333333333333</v>
      </c>
      <c r="AA79" s="89">
        <f t="shared" si="115"/>
        <v>7.333333333333333</v>
      </c>
      <c r="AB79" s="89">
        <f t="shared" si="115"/>
        <v>4.666666666666667</v>
      </c>
      <c r="AC79" s="89">
        <f t="shared" si="115"/>
        <v>3.3333333333333335</v>
      </c>
      <c r="AD79" s="90">
        <f t="shared" si="115"/>
        <v>5</v>
      </c>
      <c r="AE79" s="91">
        <f t="shared" si="115"/>
        <v>2.3333333333333335</v>
      </c>
    </row>
    <row r="80" spans="1:31" ht="13.5" customHeight="1" x14ac:dyDescent="0.2">
      <c r="A80" s="270"/>
      <c r="B80" s="114">
        <f t="shared" si="114"/>
        <v>38.180693069306933</v>
      </c>
      <c r="C80" s="125">
        <v>67.747163695299832</v>
      </c>
      <c r="D80" s="126">
        <v>63.533225283630465</v>
      </c>
      <c r="E80" s="126">
        <v>28.200972447325768</v>
      </c>
      <c r="F80" s="126">
        <v>25.769854132901131</v>
      </c>
      <c r="G80" s="126">
        <v>18.638573743922205</v>
      </c>
      <c r="H80" s="126">
        <v>11.345218800648297</v>
      </c>
      <c r="I80" s="126">
        <v>8.589951377633712</v>
      </c>
      <c r="J80" s="126">
        <v>5.1863857374392222</v>
      </c>
      <c r="K80" s="126">
        <v>6.9692058346839545</v>
      </c>
      <c r="L80" s="126">
        <v>3.5656401944894651</v>
      </c>
      <c r="M80" s="127">
        <v>3.0794165316045379</v>
      </c>
      <c r="N80" s="126">
        <v>4.2139384116693677</v>
      </c>
      <c r="O80" s="126">
        <v>4.3760129659643443</v>
      </c>
      <c r="P80" s="128"/>
      <c r="R80" s="95" t="str">
        <f>A85</f>
        <v>東濃圏域(n = 271 )　　</v>
      </c>
      <c r="S80" s="88">
        <f>C86</f>
        <v>59.040590405904055</v>
      </c>
      <c r="T80" s="89">
        <f t="shared" ref="T80:AE80" si="116">D86</f>
        <v>63.099630996309962</v>
      </c>
      <c r="U80" s="89">
        <f t="shared" si="116"/>
        <v>29.15129151291513</v>
      </c>
      <c r="V80" s="89">
        <f t="shared" si="116"/>
        <v>21.771217712177123</v>
      </c>
      <c r="W80" s="89">
        <f t="shared" si="116"/>
        <v>14.022140221402212</v>
      </c>
      <c r="X80" s="89">
        <f t="shared" si="116"/>
        <v>15.129151291512915</v>
      </c>
      <c r="Y80" s="90">
        <f t="shared" si="116"/>
        <v>8.1180811808118083</v>
      </c>
      <c r="Z80" s="109">
        <f t="shared" si="116"/>
        <v>7.7490774907749085</v>
      </c>
      <c r="AA80" s="89">
        <f t="shared" si="116"/>
        <v>5.1660516605166054</v>
      </c>
      <c r="AB80" s="89">
        <f t="shared" si="116"/>
        <v>4.428044280442804</v>
      </c>
      <c r="AC80" s="89">
        <f t="shared" si="116"/>
        <v>2.214022140221402</v>
      </c>
      <c r="AD80" s="90">
        <f t="shared" si="116"/>
        <v>4.7970479704797047</v>
      </c>
      <c r="AE80" s="91">
        <f t="shared" si="116"/>
        <v>5.5350553505535052</v>
      </c>
    </row>
    <row r="81" spans="1:31" ht="13.5" customHeight="1" x14ac:dyDescent="0.2">
      <c r="A81" s="269" t="str">
        <f>A65</f>
        <v>西濃圏域(n = 290 )　　</v>
      </c>
      <c r="B81" s="113">
        <f t="shared" si="114"/>
        <v>290</v>
      </c>
      <c r="C81" s="129">
        <v>175</v>
      </c>
      <c r="D81" s="130">
        <v>196</v>
      </c>
      <c r="E81" s="130">
        <v>78</v>
      </c>
      <c r="F81" s="130">
        <v>79</v>
      </c>
      <c r="G81" s="130">
        <v>46</v>
      </c>
      <c r="H81" s="130">
        <v>30</v>
      </c>
      <c r="I81" s="130">
        <v>30</v>
      </c>
      <c r="J81" s="130">
        <v>27</v>
      </c>
      <c r="K81" s="130">
        <v>23</v>
      </c>
      <c r="L81" s="130">
        <v>13</v>
      </c>
      <c r="M81" s="140">
        <v>5</v>
      </c>
      <c r="N81" s="130">
        <v>15</v>
      </c>
      <c r="O81" s="130">
        <v>7</v>
      </c>
      <c r="P81" s="131"/>
      <c r="R81" s="94" t="str">
        <f>A87</f>
        <v>飛騨圏域(n = 106 )　　</v>
      </c>
      <c r="S81" s="78">
        <f>C88</f>
        <v>60.377358490566039</v>
      </c>
      <c r="T81" s="79">
        <f t="shared" ref="T81:AE81" si="117">D88</f>
        <v>59.433962264150942</v>
      </c>
      <c r="U81" s="79">
        <f t="shared" si="117"/>
        <v>29.245283018867923</v>
      </c>
      <c r="V81" s="79">
        <f t="shared" si="117"/>
        <v>25.471698113207548</v>
      </c>
      <c r="W81" s="79">
        <f t="shared" si="117"/>
        <v>17.924528301886792</v>
      </c>
      <c r="X81" s="79">
        <f t="shared" si="117"/>
        <v>8.4905660377358494</v>
      </c>
      <c r="Y81" s="80">
        <f t="shared" si="117"/>
        <v>10.377358490566039</v>
      </c>
      <c r="Z81" s="107">
        <f t="shared" si="117"/>
        <v>7.5471698113207548</v>
      </c>
      <c r="AA81" s="79">
        <f t="shared" si="117"/>
        <v>6.6037735849056602</v>
      </c>
      <c r="AB81" s="79">
        <f t="shared" si="117"/>
        <v>5.6603773584905666</v>
      </c>
      <c r="AC81" s="79">
        <f t="shared" si="117"/>
        <v>1.8867924528301887</v>
      </c>
      <c r="AD81" s="80">
        <f t="shared" si="117"/>
        <v>7.5471698113207548</v>
      </c>
      <c r="AE81" s="81">
        <f t="shared" si="117"/>
        <v>5.6603773584905666</v>
      </c>
    </row>
    <row r="82" spans="1:31" ht="13.5" customHeight="1" x14ac:dyDescent="0.2">
      <c r="A82" s="270"/>
      <c r="B82" s="114">
        <f t="shared" si="114"/>
        <v>17.945544554455445</v>
      </c>
      <c r="C82" s="125">
        <v>60.344827586206897</v>
      </c>
      <c r="D82" s="126">
        <v>67.58620689655173</v>
      </c>
      <c r="E82" s="126">
        <v>26.896551724137929</v>
      </c>
      <c r="F82" s="126">
        <v>27.241379310344826</v>
      </c>
      <c r="G82" s="126">
        <v>15.862068965517242</v>
      </c>
      <c r="H82" s="126">
        <v>10.344827586206897</v>
      </c>
      <c r="I82" s="126">
        <v>10.344827586206897</v>
      </c>
      <c r="J82" s="126">
        <v>9.3103448275862082</v>
      </c>
      <c r="K82" s="126">
        <v>7.931034482758621</v>
      </c>
      <c r="L82" s="126">
        <v>4.4827586206896548</v>
      </c>
      <c r="M82" s="127">
        <v>1.7241379310344827</v>
      </c>
      <c r="N82" s="126">
        <v>5.1724137931034484</v>
      </c>
      <c r="O82" s="126">
        <v>2.4137931034482758</v>
      </c>
      <c r="P82" s="128"/>
    </row>
    <row r="83" spans="1:31" x14ac:dyDescent="0.2">
      <c r="A83" s="269" t="str">
        <f>A67</f>
        <v>中濃圏域(n = 300 )　　</v>
      </c>
      <c r="B83" s="113">
        <f t="shared" si="114"/>
        <v>300</v>
      </c>
      <c r="C83" s="129">
        <v>214</v>
      </c>
      <c r="D83" s="130">
        <v>202</v>
      </c>
      <c r="E83" s="130">
        <v>86</v>
      </c>
      <c r="F83" s="130">
        <v>70</v>
      </c>
      <c r="G83" s="130">
        <v>41</v>
      </c>
      <c r="H83" s="130">
        <v>43</v>
      </c>
      <c r="I83" s="130">
        <v>20</v>
      </c>
      <c r="J83" s="130">
        <v>22</v>
      </c>
      <c r="K83" s="130">
        <v>22</v>
      </c>
      <c r="L83" s="130">
        <v>14</v>
      </c>
      <c r="M83" s="140">
        <v>10</v>
      </c>
      <c r="N83" s="130">
        <v>15</v>
      </c>
      <c r="O83" s="130">
        <v>7</v>
      </c>
      <c r="P83" s="131"/>
    </row>
    <row r="84" spans="1:31" x14ac:dyDescent="0.2">
      <c r="A84" s="270"/>
      <c r="B84" s="114">
        <f t="shared" si="114"/>
        <v>18.564356435643564</v>
      </c>
      <c r="C84" s="125">
        <v>71.333333333333343</v>
      </c>
      <c r="D84" s="126">
        <v>67.333333333333329</v>
      </c>
      <c r="E84" s="126">
        <v>28.666666666666668</v>
      </c>
      <c r="F84" s="126">
        <v>23.333333333333332</v>
      </c>
      <c r="G84" s="126">
        <v>13.666666666666666</v>
      </c>
      <c r="H84" s="126">
        <v>14.333333333333334</v>
      </c>
      <c r="I84" s="126">
        <v>6.666666666666667</v>
      </c>
      <c r="J84" s="126">
        <v>7.333333333333333</v>
      </c>
      <c r="K84" s="126">
        <v>7.333333333333333</v>
      </c>
      <c r="L84" s="126">
        <v>4.666666666666667</v>
      </c>
      <c r="M84" s="127">
        <v>3.3333333333333335</v>
      </c>
      <c r="N84" s="126">
        <v>5</v>
      </c>
      <c r="O84" s="126">
        <v>2.3333333333333335</v>
      </c>
      <c r="P84" s="128"/>
    </row>
    <row r="85" spans="1:31" x14ac:dyDescent="0.2">
      <c r="A85" s="269" t="str">
        <f>A69</f>
        <v>東濃圏域(n = 271 )　　</v>
      </c>
      <c r="B85" s="113">
        <f t="shared" si="114"/>
        <v>271</v>
      </c>
      <c r="C85" s="129">
        <v>160</v>
      </c>
      <c r="D85" s="130">
        <v>171</v>
      </c>
      <c r="E85" s="130">
        <v>79</v>
      </c>
      <c r="F85" s="130">
        <v>59</v>
      </c>
      <c r="G85" s="130">
        <v>38</v>
      </c>
      <c r="H85" s="130">
        <v>41</v>
      </c>
      <c r="I85" s="130">
        <v>22</v>
      </c>
      <c r="J85" s="130">
        <v>21</v>
      </c>
      <c r="K85" s="130">
        <v>14</v>
      </c>
      <c r="L85" s="130">
        <v>12</v>
      </c>
      <c r="M85" s="140">
        <v>6</v>
      </c>
      <c r="N85" s="130">
        <v>13</v>
      </c>
      <c r="O85" s="130">
        <v>15</v>
      </c>
      <c r="P85" s="131"/>
    </row>
    <row r="86" spans="1:31" x14ac:dyDescent="0.2">
      <c r="A86" s="270"/>
      <c r="B86" s="114">
        <f t="shared" si="114"/>
        <v>16.769801980198022</v>
      </c>
      <c r="C86" s="125">
        <v>59.040590405904055</v>
      </c>
      <c r="D86" s="126">
        <v>63.099630996309962</v>
      </c>
      <c r="E86" s="126">
        <v>29.15129151291513</v>
      </c>
      <c r="F86" s="126">
        <v>21.771217712177123</v>
      </c>
      <c r="G86" s="126">
        <v>14.022140221402212</v>
      </c>
      <c r="H86" s="126">
        <v>15.129151291512915</v>
      </c>
      <c r="I86" s="126">
        <v>8.1180811808118083</v>
      </c>
      <c r="J86" s="126">
        <v>7.7490774907749085</v>
      </c>
      <c r="K86" s="126">
        <v>5.1660516605166054</v>
      </c>
      <c r="L86" s="126">
        <v>4.428044280442804</v>
      </c>
      <c r="M86" s="127">
        <v>2.214022140221402</v>
      </c>
      <c r="N86" s="126">
        <v>4.7970479704797047</v>
      </c>
      <c r="O86" s="126">
        <v>5.5350553505535052</v>
      </c>
      <c r="P86" s="128"/>
    </row>
    <row r="87" spans="1:31" x14ac:dyDescent="0.2">
      <c r="A87" s="269" t="str">
        <f>A71</f>
        <v>飛騨圏域(n = 106 )　　</v>
      </c>
      <c r="B87" s="113">
        <f t="shared" si="114"/>
        <v>106</v>
      </c>
      <c r="C87" s="129">
        <v>64</v>
      </c>
      <c r="D87" s="130">
        <v>63</v>
      </c>
      <c r="E87" s="130">
        <v>31</v>
      </c>
      <c r="F87" s="130">
        <v>27</v>
      </c>
      <c r="G87" s="130">
        <v>19</v>
      </c>
      <c r="H87" s="130">
        <v>9</v>
      </c>
      <c r="I87" s="130">
        <v>11</v>
      </c>
      <c r="J87" s="130">
        <v>8</v>
      </c>
      <c r="K87" s="130">
        <v>7</v>
      </c>
      <c r="L87" s="130">
        <v>6</v>
      </c>
      <c r="M87" s="140">
        <v>2</v>
      </c>
      <c r="N87" s="130">
        <v>8</v>
      </c>
      <c r="O87" s="130">
        <v>6</v>
      </c>
      <c r="P87" s="131"/>
    </row>
    <row r="88" spans="1:31" x14ac:dyDescent="0.2">
      <c r="A88" s="270"/>
      <c r="B88" s="114">
        <f t="shared" si="114"/>
        <v>6.5594059405940595</v>
      </c>
      <c r="C88" s="125">
        <v>60.377358490566039</v>
      </c>
      <c r="D88" s="126">
        <v>59.433962264150942</v>
      </c>
      <c r="E88" s="126">
        <v>29.245283018867923</v>
      </c>
      <c r="F88" s="126">
        <v>25.471698113207548</v>
      </c>
      <c r="G88" s="126">
        <v>17.924528301886792</v>
      </c>
      <c r="H88" s="126">
        <v>8.4905660377358494</v>
      </c>
      <c r="I88" s="126">
        <v>10.377358490566039</v>
      </c>
      <c r="J88" s="126">
        <v>7.5471698113207548</v>
      </c>
      <c r="K88" s="126">
        <v>6.6037735849056602</v>
      </c>
      <c r="L88" s="126">
        <v>5.6603773584905666</v>
      </c>
      <c r="M88" s="127">
        <v>1.8867924528301887</v>
      </c>
      <c r="N88" s="126">
        <v>7.5471698113207548</v>
      </c>
      <c r="O88" s="126">
        <v>5.6603773584905666</v>
      </c>
      <c r="P88" s="128"/>
    </row>
    <row r="90" spans="1:31" x14ac:dyDescent="0.2">
      <c r="A90" s="3" t="s">
        <v>161</v>
      </c>
      <c r="B90" s="1" t="str">
        <f>B59</f>
        <v>生活面での不安</v>
      </c>
      <c r="C90" s="8"/>
      <c r="D90" s="9" t="s">
        <v>198</v>
      </c>
      <c r="E90" s="8"/>
      <c r="F90" s="8"/>
      <c r="G90" s="8"/>
      <c r="H90" s="9" t="s">
        <v>198</v>
      </c>
      <c r="I90" s="8"/>
      <c r="J90" s="8"/>
      <c r="K90" s="8"/>
      <c r="L90" s="8"/>
      <c r="M90" s="8"/>
      <c r="N90" s="8"/>
      <c r="O90" s="8"/>
      <c r="P90" s="8"/>
    </row>
    <row r="91" spans="1:31" ht="90" customHeight="1" x14ac:dyDescent="0.2">
      <c r="A91" s="12" t="s">
        <v>29</v>
      </c>
      <c r="B91" s="14" t="str">
        <f>B60</f>
        <v>調査数</v>
      </c>
      <c r="C91" s="15" t="str">
        <f t="shared" ref="C91:O91" si="118">C60</f>
        <v>健康・体力</v>
      </c>
      <c r="D91" s="16" t="str">
        <f t="shared" si="118"/>
        <v>収入・貯蓄</v>
      </c>
      <c r="E91" s="16" t="str">
        <f t="shared" si="118"/>
        <v>仕事</v>
      </c>
      <c r="F91" s="16" t="str">
        <f t="shared" si="118"/>
        <v>就職</v>
      </c>
      <c r="G91" s="16" t="str">
        <f t="shared" si="118"/>
        <v>結婚</v>
      </c>
      <c r="H91" s="16" t="str">
        <f t="shared" si="118"/>
        <v>子育て・子どもの教育</v>
      </c>
      <c r="I91" s="16" t="str">
        <f t="shared" si="118"/>
        <v>介護</v>
      </c>
      <c r="J91" s="16" t="str">
        <f t="shared" si="118"/>
        <v>家庭での人間関係</v>
      </c>
      <c r="K91" s="16" t="str">
        <f t="shared" si="118"/>
        <v>地域での人間関係</v>
      </c>
      <c r="L91" s="16" t="str">
        <f t="shared" si="118"/>
        <v>住宅</v>
      </c>
      <c r="M91" s="16" t="str">
        <f>M60</f>
        <v>地域の住環境（上下水道、公園、
        道路、公共交通機関など）</v>
      </c>
      <c r="N91" s="17" t="str">
        <f t="shared" si="118"/>
        <v>その他</v>
      </c>
      <c r="O91" s="17" t="str">
        <f t="shared" si="118"/>
        <v>特にない</v>
      </c>
      <c r="P91" s="18"/>
      <c r="Q91" s="103" t="s">
        <v>118</v>
      </c>
      <c r="R91" s="202" t="s">
        <v>242</v>
      </c>
    </row>
    <row r="92" spans="1:31" x14ac:dyDescent="0.2">
      <c r="A92" s="279" t="str">
        <f>'問2S（表）'!A67</f>
        <v>全体(n = 1,616 )　　</v>
      </c>
      <c r="B92" s="34">
        <f>'問2S（表）'!B67</f>
        <v>1616</v>
      </c>
      <c r="C92" s="31">
        <f t="shared" ref="C92:O92" si="119">SUM(C94,C96,C98,C100,C102,C104,C106,C108,C110)</f>
        <v>1035</v>
      </c>
      <c r="D92" s="32">
        <f t="shared" si="119"/>
        <v>1043</v>
      </c>
      <c r="E92" s="32">
        <f t="shared" si="119"/>
        <v>453</v>
      </c>
      <c r="F92" s="32">
        <f t="shared" si="119"/>
        <v>42</v>
      </c>
      <c r="G92" s="32">
        <f t="shared" si="119"/>
        <v>67</v>
      </c>
      <c r="H92" s="32">
        <f t="shared" si="119"/>
        <v>263</v>
      </c>
      <c r="I92" s="32">
        <f t="shared" si="119"/>
        <v>400</v>
      </c>
      <c r="J92" s="32">
        <f t="shared" si="119"/>
        <v>111</v>
      </c>
      <c r="K92" s="32">
        <f t="shared" si="119"/>
        <v>111</v>
      </c>
      <c r="L92" s="32">
        <f t="shared" si="119"/>
        <v>140</v>
      </c>
      <c r="M92" s="32">
        <f t="shared" si="119"/>
        <v>194</v>
      </c>
      <c r="N92" s="32">
        <f t="shared" si="119"/>
        <v>77</v>
      </c>
      <c r="O92" s="32">
        <f t="shared" si="119"/>
        <v>62</v>
      </c>
      <c r="P92" s="33"/>
      <c r="Q92" s="104">
        <f>SUM($C92:P92)</f>
        <v>3998</v>
      </c>
      <c r="R92" s="166">
        <f>B92</f>
        <v>1616</v>
      </c>
    </row>
    <row r="93" spans="1:31" x14ac:dyDescent="0.2">
      <c r="A93" s="280"/>
      <c r="B93" s="35">
        <v>100</v>
      </c>
      <c r="C93" s="20">
        <f t="shared" ref="C93" si="120">C92/$B92*100</f>
        <v>64.047029702970292</v>
      </c>
      <c r="D93" s="207">
        <f t="shared" ref="D93" si="121">D92/$B92*100</f>
        <v>64.542079207920793</v>
      </c>
      <c r="E93" s="207">
        <f t="shared" ref="E93" si="122">E92/$B92*100</f>
        <v>28.032178217821784</v>
      </c>
      <c r="F93" s="207">
        <f t="shared" ref="F93" si="123">F92/$B92*100</f>
        <v>2.5990099009900991</v>
      </c>
      <c r="G93" s="207">
        <f t="shared" ref="G93" si="124">G92/$B92*100</f>
        <v>4.1460396039603964</v>
      </c>
      <c r="H93" s="207">
        <f t="shared" ref="H93" si="125">H92/$B92*100</f>
        <v>16.274752475247524</v>
      </c>
      <c r="I93" s="207">
        <f t="shared" ref="I93" si="126">I92/$B92*100</f>
        <v>24.752475247524753</v>
      </c>
      <c r="J93" s="207">
        <f t="shared" ref="J93" si="127">J92/$B92*100</f>
        <v>6.8688118811881189</v>
      </c>
      <c r="K93" s="207">
        <f t="shared" ref="K93" si="128">K92/$B92*100</f>
        <v>6.8688118811881189</v>
      </c>
      <c r="L93" s="207">
        <f t="shared" ref="L93" si="129">L92/$B92*100</f>
        <v>8.6633663366336631</v>
      </c>
      <c r="M93" s="207">
        <f t="shared" ref="M93" si="130">M92/$B92*100</f>
        <v>12.004950495049505</v>
      </c>
      <c r="N93" s="207">
        <f t="shared" ref="N93" si="131">N92/$B92*100</f>
        <v>4.7648514851485153</v>
      </c>
      <c r="O93" s="207">
        <f t="shared" ref="O93" si="132">O92/$B92*100</f>
        <v>3.8366336633663365</v>
      </c>
      <c r="P93" s="208"/>
      <c r="Q93" s="104"/>
    </row>
    <row r="94" spans="1:31" ht="13.5" customHeight="1" x14ac:dyDescent="0.2">
      <c r="A94" s="279" t="str">
        <f>'問2S（表）'!A69</f>
        <v>自営業(n = 175 )　　</v>
      </c>
      <c r="B94" s="34">
        <f>'問2S（表）'!B69</f>
        <v>175</v>
      </c>
      <c r="C94" s="31">
        <v>113</v>
      </c>
      <c r="D94" s="32">
        <v>110</v>
      </c>
      <c r="E94" s="32">
        <v>69</v>
      </c>
      <c r="F94" s="32">
        <v>1</v>
      </c>
      <c r="G94" s="32">
        <v>5</v>
      </c>
      <c r="H94" s="32">
        <v>15</v>
      </c>
      <c r="I94" s="32">
        <v>46</v>
      </c>
      <c r="J94" s="32">
        <v>7</v>
      </c>
      <c r="K94" s="32">
        <v>17</v>
      </c>
      <c r="L94" s="32">
        <v>18</v>
      </c>
      <c r="M94" s="32">
        <v>20</v>
      </c>
      <c r="N94" s="32">
        <v>3</v>
      </c>
      <c r="O94" s="32">
        <v>8</v>
      </c>
      <c r="P94" s="33"/>
      <c r="Q94" s="104">
        <f>SUM(C94:P94)</f>
        <v>432</v>
      </c>
      <c r="R94" s="166">
        <f>B94</f>
        <v>175</v>
      </c>
      <c r="S94" t="str">
        <f>" 自営業（N = "&amp;Q94&amp;" : n = "&amp;R94&amp;"）"</f>
        <v xml:space="preserve"> 自営業（N = 432 : n = 175）</v>
      </c>
    </row>
    <row r="95" spans="1:31" x14ac:dyDescent="0.2">
      <c r="A95" s="280"/>
      <c r="B95" s="20">
        <f>B94/$B$92*100</f>
        <v>10.829207920792079</v>
      </c>
      <c r="C95" s="20">
        <f t="shared" ref="C95" si="133">C94/$B94*100</f>
        <v>64.571428571428569</v>
      </c>
      <c r="D95" s="207">
        <f t="shared" ref="D95" si="134">D94/$B94*100</f>
        <v>62.857142857142854</v>
      </c>
      <c r="E95" s="207">
        <f t="shared" ref="E95" si="135">E94/$B94*100</f>
        <v>39.428571428571431</v>
      </c>
      <c r="F95" s="207">
        <f t="shared" ref="F95" si="136">F94/$B94*100</f>
        <v>0.5714285714285714</v>
      </c>
      <c r="G95" s="207">
        <f t="shared" ref="G95" si="137">G94/$B94*100</f>
        <v>2.8571428571428572</v>
      </c>
      <c r="H95" s="207">
        <f t="shared" ref="H95" si="138">H94/$B94*100</f>
        <v>8.5714285714285712</v>
      </c>
      <c r="I95" s="207">
        <f t="shared" ref="I95" si="139">I94/$B94*100</f>
        <v>26.285714285714285</v>
      </c>
      <c r="J95" s="207">
        <f t="shared" ref="J95" si="140">J94/$B94*100</f>
        <v>4</v>
      </c>
      <c r="K95" s="207">
        <f t="shared" ref="K95" si="141">K94/$B94*100</f>
        <v>9.7142857142857135</v>
      </c>
      <c r="L95" s="207">
        <f t="shared" ref="L95" si="142">L94/$B94*100</f>
        <v>10.285714285714285</v>
      </c>
      <c r="M95" s="207">
        <f t="shared" ref="M95" si="143">M94/$B94*100</f>
        <v>11.428571428571429</v>
      </c>
      <c r="N95" s="207">
        <f t="shared" ref="N95" si="144">N94/$B94*100</f>
        <v>1.7142857142857144</v>
      </c>
      <c r="O95" s="207">
        <f t="shared" ref="O95" si="145">O94/$B94*100</f>
        <v>4.5714285714285712</v>
      </c>
      <c r="P95" s="208"/>
      <c r="Q95" s="104"/>
    </row>
    <row r="96" spans="1:31" ht="13.5" customHeight="1" x14ac:dyDescent="0.2">
      <c r="A96" s="279" t="str">
        <f>'問2S（表）'!A71</f>
        <v>自由業(※1)(n = 12 )　　</v>
      </c>
      <c r="B96" s="34">
        <f>'問2S（表）'!B71</f>
        <v>12</v>
      </c>
      <c r="C96" s="31">
        <v>7</v>
      </c>
      <c r="D96" s="32">
        <v>7</v>
      </c>
      <c r="E96" s="32">
        <v>5</v>
      </c>
      <c r="F96" s="32">
        <v>0</v>
      </c>
      <c r="G96" s="32">
        <v>0</v>
      </c>
      <c r="H96" s="32">
        <v>1</v>
      </c>
      <c r="I96" s="32">
        <v>2</v>
      </c>
      <c r="J96" s="32">
        <v>0</v>
      </c>
      <c r="K96" s="32">
        <v>0</v>
      </c>
      <c r="L96" s="32">
        <v>0</v>
      </c>
      <c r="M96" s="32">
        <v>0</v>
      </c>
      <c r="N96" s="32">
        <v>1</v>
      </c>
      <c r="O96" s="32">
        <v>2</v>
      </c>
      <c r="P96" s="33"/>
      <c r="Q96" s="104">
        <f>SUM(C96:P96)</f>
        <v>25</v>
      </c>
      <c r="R96" s="166">
        <f>B96</f>
        <v>12</v>
      </c>
      <c r="S96" t="str">
        <f>" 自由業（N = "&amp;Q96&amp;" : n = "&amp;R96&amp;"）"</f>
        <v xml:space="preserve"> 自由業（N = 25 : n = 12）</v>
      </c>
    </row>
    <row r="97" spans="1:19" x14ac:dyDescent="0.2">
      <c r="A97" s="280"/>
      <c r="B97" s="20">
        <f>B96/$B$92*100</f>
        <v>0.74257425742574257</v>
      </c>
      <c r="C97" s="20">
        <f t="shared" ref="C97" si="146">C96/$B96*100</f>
        <v>58.333333333333336</v>
      </c>
      <c r="D97" s="207">
        <f t="shared" ref="D97" si="147">D96/$B96*100</f>
        <v>58.333333333333336</v>
      </c>
      <c r="E97" s="207">
        <f t="shared" ref="E97" si="148">E96/$B96*100</f>
        <v>41.666666666666671</v>
      </c>
      <c r="F97" s="207">
        <f t="shared" ref="F97" si="149">F96/$B96*100</f>
        <v>0</v>
      </c>
      <c r="G97" s="207">
        <f t="shared" ref="G97" si="150">G96/$B96*100</f>
        <v>0</v>
      </c>
      <c r="H97" s="207">
        <f t="shared" ref="H97" si="151">H96/$B96*100</f>
        <v>8.3333333333333321</v>
      </c>
      <c r="I97" s="207">
        <f t="shared" ref="I97" si="152">I96/$B96*100</f>
        <v>16.666666666666664</v>
      </c>
      <c r="J97" s="207">
        <f t="shared" ref="J97" si="153">J96/$B96*100</f>
        <v>0</v>
      </c>
      <c r="K97" s="207">
        <f t="shared" ref="K97" si="154">K96/$B96*100</f>
        <v>0</v>
      </c>
      <c r="L97" s="207">
        <f t="shared" ref="L97" si="155">L96/$B96*100</f>
        <v>0</v>
      </c>
      <c r="M97" s="207">
        <f t="shared" ref="M97" si="156">M96/$B96*100</f>
        <v>0</v>
      </c>
      <c r="N97" s="207">
        <f t="shared" ref="N97" si="157">N96/$B96*100</f>
        <v>8.3333333333333321</v>
      </c>
      <c r="O97" s="207">
        <f t="shared" ref="O97" si="158">O96/$B96*100</f>
        <v>16.666666666666664</v>
      </c>
      <c r="P97" s="208"/>
      <c r="Q97" s="104"/>
    </row>
    <row r="98" spans="1:19" ht="13.5" customHeight="1" x14ac:dyDescent="0.2">
      <c r="A98" s="279" t="str">
        <f>'問2S（表）'!A73</f>
        <v>会社・団体役員(n = 171 )　　</v>
      </c>
      <c r="B98" s="34">
        <f>'問2S（表）'!B73</f>
        <v>171</v>
      </c>
      <c r="C98" s="31">
        <v>90</v>
      </c>
      <c r="D98" s="32">
        <v>110</v>
      </c>
      <c r="E98" s="32">
        <v>65</v>
      </c>
      <c r="F98" s="32">
        <v>2</v>
      </c>
      <c r="G98" s="32">
        <v>14</v>
      </c>
      <c r="H98" s="32">
        <v>41</v>
      </c>
      <c r="I98" s="32">
        <v>33</v>
      </c>
      <c r="J98" s="32">
        <v>13</v>
      </c>
      <c r="K98" s="32">
        <v>7</v>
      </c>
      <c r="L98" s="32">
        <v>8</v>
      </c>
      <c r="M98" s="32">
        <v>15</v>
      </c>
      <c r="N98" s="32">
        <v>6</v>
      </c>
      <c r="O98" s="32">
        <v>8</v>
      </c>
      <c r="P98" s="33"/>
      <c r="Q98" s="104">
        <f>SUM(C98:P98)</f>
        <v>412</v>
      </c>
      <c r="R98" s="166">
        <f>B98</f>
        <v>171</v>
      </c>
      <c r="S98" t="str">
        <f>" 会社・団体役員（N = "&amp;Q98&amp;" : n = "&amp;R98&amp;"）"</f>
        <v xml:space="preserve"> 会社・団体役員（N = 412 : n = 171）</v>
      </c>
    </row>
    <row r="99" spans="1:19" x14ac:dyDescent="0.2">
      <c r="A99" s="280"/>
      <c r="B99" s="20">
        <f>B98/$B$92*100</f>
        <v>10.581683168316831</v>
      </c>
      <c r="C99" s="20">
        <f t="shared" ref="C99" si="159">C98/$B98*100</f>
        <v>52.631578947368418</v>
      </c>
      <c r="D99" s="207">
        <f t="shared" ref="D99" si="160">D98/$B98*100</f>
        <v>64.327485380116954</v>
      </c>
      <c r="E99" s="207">
        <f t="shared" ref="E99" si="161">E98/$B98*100</f>
        <v>38.011695906432749</v>
      </c>
      <c r="F99" s="207">
        <f t="shared" ref="F99" si="162">F98/$B98*100</f>
        <v>1.1695906432748537</v>
      </c>
      <c r="G99" s="207">
        <f t="shared" ref="G99" si="163">G98/$B98*100</f>
        <v>8.1871345029239766</v>
      </c>
      <c r="H99" s="207">
        <f t="shared" ref="H99" si="164">H98/$B98*100</f>
        <v>23.976608187134502</v>
      </c>
      <c r="I99" s="207">
        <f t="shared" ref="I99" si="165">I98/$B98*100</f>
        <v>19.298245614035086</v>
      </c>
      <c r="J99" s="207">
        <f t="shared" ref="J99" si="166">J98/$B98*100</f>
        <v>7.6023391812865491</v>
      </c>
      <c r="K99" s="207">
        <f t="shared" ref="K99" si="167">K98/$B98*100</f>
        <v>4.0935672514619883</v>
      </c>
      <c r="L99" s="207">
        <f t="shared" ref="L99" si="168">L98/$B98*100</f>
        <v>4.6783625730994149</v>
      </c>
      <c r="M99" s="207">
        <f t="shared" ref="M99" si="169">M98/$B98*100</f>
        <v>8.7719298245614024</v>
      </c>
      <c r="N99" s="207">
        <f t="shared" ref="N99" si="170">N98/$B98*100</f>
        <v>3.5087719298245612</v>
      </c>
      <c r="O99" s="207">
        <f t="shared" ref="O99" si="171">O98/$B98*100</f>
        <v>4.6783625730994149</v>
      </c>
      <c r="P99" s="208"/>
      <c r="Q99" s="104"/>
    </row>
    <row r="100" spans="1:19" ht="13.5" customHeight="1" x14ac:dyDescent="0.2">
      <c r="A100" s="283" t="str">
        <f>'問2S（表）'!A75</f>
        <v>正規の従業員・職員(n = 423 )　　</v>
      </c>
      <c r="B100" s="34">
        <f>'問2S（表）'!B75</f>
        <v>423</v>
      </c>
      <c r="C100" s="31">
        <v>248</v>
      </c>
      <c r="D100" s="32">
        <v>301</v>
      </c>
      <c r="E100" s="32">
        <v>159</v>
      </c>
      <c r="F100" s="32">
        <v>4</v>
      </c>
      <c r="G100" s="32">
        <v>26</v>
      </c>
      <c r="H100" s="32">
        <v>101</v>
      </c>
      <c r="I100" s="32">
        <v>88</v>
      </c>
      <c r="J100" s="32">
        <v>33</v>
      </c>
      <c r="K100" s="32">
        <v>29</v>
      </c>
      <c r="L100" s="32">
        <v>37</v>
      </c>
      <c r="M100" s="32">
        <v>48</v>
      </c>
      <c r="N100" s="32">
        <v>20</v>
      </c>
      <c r="O100" s="32">
        <v>11</v>
      </c>
      <c r="P100" s="33"/>
      <c r="Q100" s="104">
        <f>SUM(C100:P100)</f>
        <v>1105</v>
      </c>
      <c r="R100" s="166">
        <f>B100</f>
        <v>423</v>
      </c>
      <c r="S100" t="str">
        <f>" 正規の従業員・職員（N = "&amp;Q101&amp;" : n = "&amp;R100&amp;"）"</f>
        <v xml:space="preserve"> 正規の従業員・職員（N = 1,105 : n = 423）</v>
      </c>
    </row>
    <row r="101" spans="1:19" x14ac:dyDescent="0.2">
      <c r="A101" s="284"/>
      <c r="B101" s="20">
        <f>B100/$B$92*100</f>
        <v>26.175742574257427</v>
      </c>
      <c r="C101" s="20">
        <f t="shared" ref="C101" si="172">C100/$B100*100</f>
        <v>58.628841607565008</v>
      </c>
      <c r="D101" s="207">
        <f t="shared" ref="D101" si="173">D100/$B100*100</f>
        <v>71.158392434988187</v>
      </c>
      <c r="E101" s="207">
        <f t="shared" ref="E101" si="174">E100/$B100*100</f>
        <v>37.588652482269502</v>
      </c>
      <c r="F101" s="207">
        <f t="shared" ref="F101" si="175">F100/$B100*100</f>
        <v>0.94562647754137119</v>
      </c>
      <c r="G101" s="207">
        <f t="shared" ref="G101" si="176">G100/$B100*100</f>
        <v>6.1465721040189125</v>
      </c>
      <c r="H101" s="207">
        <f t="shared" ref="H101" si="177">H100/$B100*100</f>
        <v>23.877068557919621</v>
      </c>
      <c r="I101" s="207">
        <f t="shared" ref="I101" si="178">I100/$B100*100</f>
        <v>20.803782505910164</v>
      </c>
      <c r="J101" s="207">
        <f t="shared" ref="J101" si="179">J100/$B100*100</f>
        <v>7.8014184397163122</v>
      </c>
      <c r="K101" s="207">
        <f t="shared" ref="K101" si="180">K100/$B100*100</f>
        <v>6.8557919621749415</v>
      </c>
      <c r="L101" s="207">
        <f t="shared" ref="L101" si="181">L100/$B100*100</f>
        <v>8.7470449172576838</v>
      </c>
      <c r="M101" s="207">
        <f t="shared" ref="M101" si="182">M100/$B100*100</f>
        <v>11.347517730496454</v>
      </c>
      <c r="N101" s="207">
        <f t="shared" ref="N101" si="183">N100/$B100*100</f>
        <v>4.7281323877068555</v>
      </c>
      <c r="O101" s="207">
        <f t="shared" ref="O101" si="184">O100/$B100*100</f>
        <v>2.6004728132387704</v>
      </c>
      <c r="P101" s="208"/>
      <c r="Q101" s="204" t="s">
        <v>258</v>
      </c>
    </row>
    <row r="102" spans="1:19" ht="13.5" customHeight="1" x14ac:dyDescent="0.2">
      <c r="A102" s="281" t="str">
        <f>'問2S（表）'!A77</f>
        <v>パートタイム・アルバイト・派遣(n = 346 )　　</v>
      </c>
      <c r="B102" s="34">
        <f>'問2S（表）'!B77</f>
        <v>346</v>
      </c>
      <c r="C102" s="31">
        <v>225</v>
      </c>
      <c r="D102" s="32">
        <v>249</v>
      </c>
      <c r="E102" s="32">
        <v>110</v>
      </c>
      <c r="F102" s="32">
        <v>4</v>
      </c>
      <c r="G102" s="32">
        <v>10</v>
      </c>
      <c r="H102" s="32">
        <v>71</v>
      </c>
      <c r="I102" s="32">
        <v>79</v>
      </c>
      <c r="J102" s="32">
        <v>24</v>
      </c>
      <c r="K102" s="32">
        <v>28</v>
      </c>
      <c r="L102" s="32">
        <v>32</v>
      </c>
      <c r="M102" s="32">
        <v>39</v>
      </c>
      <c r="N102" s="32">
        <v>17</v>
      </c>
      <c r="O102" s="32">
        <v>11</v>
      </c>
      <c r="P102" s="33"/>
      <c r="Q102" s="104">
        <f>SUM(C102:P102)</f>
        <v>899</v>
      </c>
      <c r="R102" s="166">
        <f>B102</f>
        <v>346</v>
      </c>
      <c r="S102" t="str">
        <f>" パートタイム・アルバイト・派遣（N = "&amp;Q102&amp;" : n = "&amp;R102&amp;"）"</f>
        <v xml:space="preserve"> パートタイム・アルバイト・派遣（N = 899 : n = 346）</v>
      </c>
    </row>
    <row r="103" spans="1:19" x14ac:dyDescent="0.2">
      <c r="A103" s="282"/>
      <c r="B103" s="20">
        <f>B102/$B$92*100</f>
        <v>21.410891089108912</v>
      </c>
      <c r="C103" s="20">
        <f t="shared" ref="C103" si="185">C102/$B102*100</f>
        <v>65.028901734104053</v>
      </c>
      <c r="D103" s="207">
        <f t="shared" ref="D103" si="186">D102/$B102*100</f>
        <v>71.965317919075147</v>
      </c>
      <c r="E103" s="207">
        <f t="shared" ref="E103" si="187">E102/$B102*100</f>
        <v>31.79190751445087</v>
      </c>
      <c r="F103" s="207">
        <f t="shared" ref="F103" si="188">F102/$B102*100</f>
        <v>1.1560693641618496</v>
      </c>
      <c r="G103" s="207">
        <f t="shared" ref="G103" si="189">G102/$B102*100</f>
        <v>2.8901734104046244</v>
      </c>
      <c r="H103" s="207">
        <f t="shared" ref="H103" si="190">H102/$B102*100</f>
        <v>20.520231213872833</v>
      </c>
      <c r="I103" s="207">
        <f t="shared" ref="I103" si="191">I102/$B102*100</f>
        <v>22.832369942196532</v>
      </c>
      <c r="J103" s="207">
        <f t="shared" ref="J103" si="192">J102/$B102*100</f>
        <v>6.9364161849710975</v>
      </c>
      <c r="K103" s="207">
        <f t="shared" ref="K103" si="193">K102/$B102*100</f>
        <v>8.0924855491329488</v>
      </c>
      <c r="L103" s="207">
        <f t="shared" ref="L103" si="194">L102/$B102*100</f>
        <v>9.2485549132947966</v>
      </c>
      <c r="M103" s="207">
        <f t="shared" ref="M103" si="195">M102/$B102*100</f>
        <v>11.271676300578035</v>
      </c>
      <c r="N103" s="207">
        <f t="shared" ref="N103" si="196">N102/$B102*100</f>
        <v>4.9132947976878611</v>
      </c>
      <c r="O103" s="207">
        <f t="shared" ref="O103" si="197">O102/$B102*100</f>
        <v>3.1791907514450863</v>
      </c>
      <c r="P103" s="208"/>
      <c r="Q103" s="104"/>
    </row>
    <row r="104" spans="1:19" ht="13.5" customHeight="1" x14ac:dyDescent="0.2">
      <c r="A104" s="279" t="str">
        <f>'問2S（表）'!A79</f>
        <v>学生(n = 44 )　　</v>
      </c>
      <c r="B104" s="34">
        <f>'問2S（表）'!B79</f>
        <v>44</v>
      </c>
      <c r="C104" s="31">
        <v>11</v>
      </c>
      <c r="D104" s="32">
        <v>25</v>
      </c>
      <c r="E104" s="32">
        <v>8</v>
      </c>
      <c r="F104" s="32">
        <v>17</v>
      </c>
      <c r="G104" s="32">
        <v>4</v>
      </c>
      <c r="H104" s="32">
        <v>1</v>
      </c>
      <c r="I104" s="32">
        <v>5</v>
      </c>
      <c r="J104" s="32">
        <v>4</v>
      </c>
      <c r="K104" s="32">
        <v>1</v>
      </c>
      <c r="L104" s="32">
        <v>2</v>
      </c>
      <c r="M104" s="32">
        <v>5</v>
      </c>
      <c r="N104" s="32">
        <v>2</v>
      </c>
      <c r="O104" s="32">
        <v>9</v>
      </c>
      <c r="P104" s="33"/>
      <c r="Q104" s="104">
        <f>SUM(C104:P104)</f>
        <v>94</v>
      </c>
      <c r="R104" s="166">
        <f>B104</f>
        <v>44</v>
      </c>
      <c r="S104" t="str">
        <f>" 学生（N = "&amp;Q104&amp;" : n = "&amp;R104&amp;"）"</f>
        <v xml:space="preserve"> 学生（N = 94 : n = 44）</v>
      </c>
    </row>
    <row r="105" spans="1:19" x14ac:dyDescent="0.2">
      <c r="A105" s="280"/>
      <c r="B105" s="20">
        <f>B104/$B$92*100</f>
        <v>2.722772277227723</v>
      </c>
      <c r="C105" s="20">
        <f t="shared" ref="C105" si="198">C104/$B104*100</f>
        <v>25</v>
      </c>
      <c r="D105" s="207">
        <f t="shared" ref="D105" si="199">D104/$B104*100</f>
        <v>56.81818181818182</v>
      </c>
      <c r="E105" s="207">
        <f t="shared" ref="E105" si="200">E104/$B104*100</f>
        <v>18.181818181818183</v>
      </c>
      <c r="F105" s="207">
        <f t="shared" ref="F105" si="201">F104/$B104*100</f>
        <v>38.636363636363633</v>
      </c>
      <c r="G105" s="207">
        <f t="shared" ref="G105" si="202">G104/$B104*100</f>
        <v>9.0909090909090917</v>
      </c>
      <c r="H105" s="207">
        <f t="shared" ref="H105" si="203">H104/$B104*100</f>
        <v>2.2727272727272729</v>
      </c>
      <c r="I105" s="207">
        <f t="shared" ref="I105" si="204">I104/$B104*100</f>
        <v>11.363636363636363</v>
      </c>
      <c r="J105" s="207">
        <f t="shared" ref="J105" si="205">J104/$B104*100</f>
        <v>9.0909090909090917</v>
      </c>
      <c r="K105" s="207">
        <f t="shared" ref="K105" si="206">K104/$B104*100</f>
        <v>2.2727272727272729</v>
      </c>
      <c r="L105" s="207">
        <f t="shared" ref="L105" si="207">L104/$B104*100</f>
        <v>4.5454545454545459</v>
      </c>
      <c r="M105" s="207">
        <f t="shared" ref="M105" si="208">M104/$B104*100</f>
        <v>11.363636363636363</v>
      </c>
      <c r="N105" s="207">
        <f t="shared" ref="N105" si="209">N104/$B104*100</f>
        <v>4.5454545454545459</v>
      </c>
      <c r="O105" s="207">
        <f t="shared" ref="O105" si="210">O104/$B104*100</f>
        <v>20.454545454545457</v>
      </c>
      <c r="P105" s="208"/>
      <c r="Q105" s="195"/>
    </row>
    <row r="106" spans="1:19" ht="13.5" customHeight="1" x14ac:dyDescent="0.2">
      <c r="A106" s="279" t="str">
        <f>'問2S（表）'!A81</f>
        <v>家事従事(n = 150 )　　</v>
      </c>
      <c r="B106" s="34">
        <f>'問2S（表）'!B81</f>
        <v>150</v>
      </c>
      <c r="C106" s="31">
        <v>108</v>
      </c>
      <c r="D106" s="32">
        <v>81</v>
      </c>
      <c r="E106" s="32">
        <v>17</v>
      </c>
      <c r="F106" s="32">
        <v>5</v>
      </c>
      <c r="G106" s="32">
        <v>3</v>
      </c>
      <c r="H106" s="32">
        <v>26</v>
      </c>
      <c r="I106" s="32">
        <v>48</v>
      </c>
      <c r="J106" s="32">
        <v>15</v>
      </c>
      <c r="K106" s="32">
        <v>12</v>
      </c>
      <c r="L106" s="32">
        <v>16</v>
      </c>
      <c r="M106" s="32">
        <v>22</v>
      </c>
      <c r="N106" s="32">
        <v>10</v>
      </c>
      <c r="O106" s="32">
        <v>5</v>
      </c>
      <c r="P106" s="33"/>
      <c r="Q106" s="104">
        <f>SUM(C106:P106)</f>
        <v>368</v>
      </c>
      <c r="R106" s="166">
        <f>B106</f>
        <v>150</v>
      </c>
      <c r="S106" t="str">
        <f>" 家事従事（N = "&amp;Q106&amp;" : n = "&amp;R106&amp;"）"</f>
        <v xml:space="preserve"> 家事従事（N = 368 : n = 150）</v>
      </c>
    </row>
    <row r="107" spans="1:19" x14ac:dyDescent="0.2">
      <c r="A107" s="280"/>
      <c r="B107" s="20">
        <f>B106/$B$92*100</f>
        <v>9.282178217821782</v>
      </c>
      <c r="C107" s="20">
        <f t="shared" ref="C107" si="211">C106/$B106*100</f>
        <v>72</v>
      </c>
      <c r="D107" s="207">
        <f t="shared" ref="D107" si="212">D106/$B106*100</f>
        <v>54</v>
      </c>
      <c r="E107" s="207">
        <f t="shared" ref="E107" si="213">E106/$B106*100</f>
        <v>11.333333333333332</v>
      </c>
      <c r="F107" s="207">
        <f t="shared" ref="F107" si="214">F106/$B106*100</f>
        <v>3.3333333333333335</v>
      </c>
      <c r="G107" s="207">
        <f t="shared" ref="G107" si="215">G106/$B106*100</f>
        <v>2</v>
      </c>
      <c r="H107" s="207">
        <f t="shared" ref="H107" si="216">H106/$B106*100</f>
        <v>17.333333333333336</v>
      </c>
      <c r="I107" s="207">
        <f t="shared" ref="I107" si="217">I106/$B106*100</f>
        <v>32</v>
      </c>
      <c r="J107" s="207">
        <f t="shared" ref="J107" si="218">J106/$B106*100</f>
        <v>10</v>
      </c>
      <c r="K107" s="207">
        <f t="shared" ref="K107" si="219">K106/$B106*100</f>
        <v>8</v>
      </c>
      <c r="L107" s="207">
        <f t="shared" ref="L107" si="220">L106/$B106*100</f>
        <v>10.666666666666668</v>
      </c>
      <c r="M107" s="207">
        <f t="shared" ref="M107" si="221">M106/$B106*100</f>
        <v>14.666666666666666</v>
      </c>
      <c r="N107" s="207">
        <f t="shared" ref="N107" si="222">N106/$B106*100</f>
        <v>6.666666666666667</v>
      </c>
      <c r="O107" s="207">
        <f t="shared" ref="O107" si="223">O106/$B106*100</f>
        <v>3.3333333333333335</v>
      </c>
      <c r="P107" s="208"/>
      <c r="Q107" s="195"/>
    </row>
    <row r="108" spans="1:19" ht="13.5" customHeight="1" x14ac:dyDescent="0.2">
      <c r="A108" s="279" t="str">
        <f>'問2S（表）'!A83</f>
        <v>無職(n = 263 )　　</v>
      </c>
      <c r="B108" s="34">
        <f>'問2S（表）'!B83</f>
        <v>263</v>
      </c>
      <c r="C108" s="31">
        <v>222</v>
      </c>
      <c r="D108" s="32">
        <v>144</v>
      </c>
      <c r="E108" s="32">
        <v>13</v>
      </c>
      <c r="F108" s="32">
        <v>9</v>
      </c>
      <c r="G108" s="32">
        <v>4</v>
      </c>
      <c r="H108" s="32">
        <v>5</v>
      </c>
      <c r="I108" s="32">
        <v>94</v>
      </c>
      <c r="J108" s="32">
        <v>15</v>
      </c>
      <c r="K108" s="32">
        <v>17</v>
      </c>
      <c r="L108" s="32">
        <v>25</v>
      </c>
      <c r="M108" s="32">
        <v>44</v>
      </c>
      <c r="N108" s="32">
        <v>16</v>
      </c>
      <c r="O108" s="32">
        <v>7</v>
      </c>
      <c r="P108" s="33"/>
      <c r="Q108" s="104">
        <f>SUM(C108:P108)</f>
        <v>615</v>
      </c>
      <c r="R108" s="166">
        <f>B108</f>
        <v>263</v>
      </c>
      <c r="S108" t="str">
        <f>" 無職（N = "&amp;Q108&amp;" : n = "&amp;R108&amp;"）"</f>
        <v xml:space="preserve"> 無職（N = 615 : n = 263）</v>
      </c>
    </row>
    <row r="109" spans="1:19" x14ac:dyDescent="0.2">
      <c r="A109" s="280"/>
      <c r="B109" s="20">
        <f>B108/$B$92*100</f>
        <v>16.274752475247524</v>
      </c>
      <c r="C109" s="20">
        <f t="shared" ref="C109" si="224">C108/$B108*100</f>
        <v>84.410646387832699</v>
      </c>
      <c r="D109" s="207">
        <f t="shared" ref="D109" si="225">D108/$B108*100</f>
        <v>54.752851711026615</v>
      </c>
      <c r="E109" s="207">
        <f t="shared" ref="E109" si="226">E108/$B108*100</f>
        <v>4.9429657794676807</v>
      </c>
      <c r="F109" s="207">
        <f t="shared" ref="F109" si="227">F108/$B108*100</f>
        <v>3.4220532319391634</v>
      </c>
      <c r="G109" s="207">
        <f t="shared" ref="G109" si="228">G108/$B108*100</f>
        <v>1.520912547528517</v>
      </c>
      <c r="H109" s="207">
        <f t="shared" ref="H109" si="229">H108/$B108*100</f>
        <v>1.9011406844106464</v>
      </c>
      <c r="I109" s="207">
        <f t="shared" ref="I109" si="230">I108/$B108*100</f>
        <v>35.741444866920155</v>
      </c>
      <c r="J109" s="207">
        <f t="shared" ref="J109" si="231">J108/$B108*100</f>
        <v>5.7034220532319395</v>
      </c>
      <c r="K109" s="207">
        <f t="shared" ref="K109" si="232">K108/$B108*100</f>
        <v>6.4638783269961975</v>
      </c>
      <c r="L109" s="207">
        <f t="shared" ref="L109" si="233">L108/$B108*100</f>
        <v>9.5057034220532319</v>
      </c>
      <c r="M109" s="207">
        <f t="shared" ref="M109" si="234">M108/$B108*100</f>
        <v>16.730038022813687</v>
      </c>
      <c r="N109" s="207">
        <f t="shared" ref="N109" si="235">N108/$B108*100</f>
        <v>6.083650190114068</v>
      </c>
      <c r="O109" s="207">
        <f t="shared" ref="O109" si="236">O108/$B108*100</f>
        <v>2.6615969581749046</v>
      </c>
      <c r="P109" s="208"/>
      <c r="Q109" s="195"/>
    </row>
    <row r="110" spans="1:19" ht="13.5" customHeight="1" x14ac:dyDescent="0.2">
      <c r="A110" s="279" t="str">
        <f>'問2S（表）'!A85</f>
        <v>その他(n = 18 )　　</v>
      </c>
      <c r="B110" s="34">
        <f>'問2S（表）'!B85</f>
        <v>18</v>
      </c>
      <c r="C110" s="31">
        <v>11</v>
      </c>
      <c r="D110" s="32">
        <v>16</v>
      </c>
      <c r="E110" s="32">
        <v>7</v>
      </c>
      <c r="F110" s="32">
        <v>0</v>
      </c>
      <c r="G110" s="32">
        <v>1</v>
      </c>
      <c r="H110" s="32">
        <v>2</v>
      </c>
      <c r="I110" s="32">
        <v>5</v>
      </c>
      <c r="J110" s="32">
        <v>0</v>
      </c>
      <c r="K110" s="32">
        <v>0</v>
      </c>
      <c r="L110" s="32">
        <v>2</v>
      </c>
      <c r="M110" s="32">
        <v>1</v>
      </c>
      <c r="N110" s="32">
        <v>2</v>
      </c>
      <c r="O110" s="32">
        <v>1</v>
      </c>
      <c r="P110" s="33"/>
      <c r="Q110" s="104">
        <f>SUM(C110:P110)</f>
        <v>48</v>
      </c>
      <c r="R110" s="166">
        <f>B110</f>
        <v>18</v>
      </c>
      <c r="S110" t="str">
        <f>" その他（N = "&amp;Q110&amp;" : n = "&amp;R110&amp;"）"</f>
        <v xml:space="preserve"> その他（N = 48 : n = 18）</v>
      </c>
    </row>
    <row r="111" spans="1:19" x14ac:dyDescent="0.2">
      <c r="A111" s="280"/>
      <c r="B111" s="20">
        <f>B110/$B$92*100</f>
        <v>1.1138613861386137</v>
      </c>
      <c r="C111" s="20">
        <f t="shared" ref="C111" si="237">C110/$B110*100</f>
        <v>61.111111111111114</v>
      </c>
      <c r="D111" s="207">
        <f t="shared" ref="D111" si="238">D110/$B110*100</f>
        <v>88.888888888888886</v>
      </c>
      <c r="E111" s="207">
        <f t="shared" ref="E111" si="239">E110/$B110*100</f>
        <v>38.888888888888893</v>
      </c>
      <c r="F111" s="207">
        <f t="shared" ref="F111" si="240">F110/$B110*100</f>
        <v>0</v>
      </c>
      <c r="G111" s="207">
        <f t="shared" ref="G111" si="241">G110/$B110*100</f>
        <v>5.5555555555555554</v>
      </c>
      <c r="H111" s="207">
        <f t="shared" ref="H111" si="242">H110/$B110*100</f>
        <v>11.111111111111111</v>
      </c>
      <c r="I111" s="207">
        <f t="shared" ref="I111" si="243">I110/$B110*100</f>
        <v>27.777777777777779</v>
      </c>
      <c r="J111" s="207">
        <f t="shared" ref="J111" si="244">J110/$B110*100</f>
        <v>0</v>
      </c>
      <c r="K111" s="207">
        <f t="shared" ref="K111" si="245">K110/$B110*100</f>
        <v>0</v>
      </c>
      <c r="L111" s="207">
        <f t="shared" ref="L111" si="246">L110/$B110*100</f>
        <v>11.111111111111111</v>
      </c>
      <c r="M111" s="207">
        <f t="shared" ref="M111" si="247">M110/$B110*100</f>
        <v>5.5555555555555554</v>
      </c>
      <c r="N111" s="207">
        <f t="shared" ref="N111" si="248">N110/$B110*100</f>
        <v>11.111111111111111</v>
      </c>
      <c r="O111" s="207">
        <f t="shared" ref="O111" si="249">O110/$B110*100</f>
        <v>5.5555555555555554</v>
      </c>
      <c r="P111" s="208"/>
      <c r="Q111" s="166">
        <f>SUM(Q$96,Q$104,Q$110)</f>
        <v>167</v>
      </c>
      <c r="R111" s="166">
        <f>SUM(R$96,R$104,R$110)</f>
        <v>74</v>
      </c>
      <c r="S111" t="str">
        <f>" その他（N = "&amp;Q111&amp;" : n = "&amp;R111&amp;"）"</f>
        <v xml:space="preserve"> その他（N = 167 : n = 74）</v>
      </c>
    </row>
    <row r="112" spans="1:19" s="183" customFormat="1" x14ac:dyDescent="0.2">
      <c r="A112" s="181"/>
      <c r="B112" s="182"/>
      <c r="C112" s="172">
        <f>_xlfn.RANK.EQ(C93,$C$93:$P$93,0)</f>
        <v>2</v>
      </c>
      <c r="D112" s="172">
        <f t="shared" ref="D112:P112" si="250">_xlfn.RANK.EQ(D93,$C$93:$P$93,0)</f>
        <v>1</v>
      </c>
      <c r="E112" s="172">
        <f t="shared" si="250"/>
        <v>3</v>
      </c>
      <c r="F112" s="172">
        <f t="shared" si="250"/>
        <v>13</v>
      </c>
      <c r="G112" s="172">
        <f t="shared" si="250"/>
        <v>11</v>
      </c>
      <c r="H112" s="172">
        <f t="shared" si="250"/>
        <v>5</v>
      </c>
      <c r="I112" s="172">
        <f t="shared" si="250"/>
        <v>4</v>
      </c>
      <c r="J112" s="172">
        <f t="shared" si="250"/>
        <v>8</v>
      </c>
      <c r="K112" s="172">
        <f t="shared" si="250"/>
        <v>8</v>
      </c>
      <c r="L112" s="172">
        <f t="shared" si="250"/>
        <v>7</v>
      </c>
      <c r="M112" s="172">
        <f t="shared" si="250"/>
        <v>6</v>
      </c>
      <c r="N112" s="172">
        <f t="shared" si="250"/>
        <v>10</v>
      </c>
      <c r="O112" s="172">
        <f t="shared" si="250"/>
        <v>12</v>
      </c>
      <c r="P112" s="172" t="e">
        <f t="shared" si="250"/>
        <v>#N/A</v>
      </c>
    </row>
    <row r="113" spans="1:16" x14ac:dyDescent="0.2">
      <c r="A113" s="26" t="s">
        <v>197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  <c r="L114" s="27">
        <v>10</v>
      </c>
      <c r="M114" s="27">
        <v>11</v>
      </c>
      <c r="N114" s="27">
        <v>12</v>
      </c>
      <c r="O114" s="27">
        <v>13</v>
      </c>
      <c r="P114" s="27">
        <v>14</v>
      </c>
    </row>
    <row r="115" spans="1:16" ht="90" customHeight="1" x14ac:dyDescent="0.2">
      <c r="A115" s="12" t="str">
        <f>A91</f>
        <v>【職業別】</v>
      </c>
      <c r="B115" s="14" t="s">
        <v>157</v>
      </c>
      <c r="C115" s="15" t="s">
        <v>205</v>
      </c>
      <c r="D115" s="16" t="s">
        <v>204</v>
      </c>
      <c r="E115" s="16" t="s">
        <v>206</v>
      </c>
      <c r="F115" s="16" t="s">
        <v>53</v>
      </c>
      <c r="G115" s="16" t="s">
        <v>52</v>
      </c>
      <c r="H115" s="61" t="s">
        <v>207</v>
      </c>
      <c r="I115" s="16" t="s">
        <v>56</v>
      </c>
      <c r="J115" s="16" t="s">
        <v>54</v>
      </c>
      <c r="K115" s="16" t="s">
        <v>55</v>
      </c>
      <c r="L115" s="16" t="s">
        <v>51</v>
      </c>
      <c r="M115" s="17" t="s">
        <v>50</v>
      </c>
      <c r="N115" s="16" t="s">
        <v>57</v>
      </c>
      <c r="O115" s="17" t="s">
        <v>75</v>
      </c>
      <c r="P115" s="18"/>
    </row>
    <row r="116" spans="1:16" x14ac:dyDescent="0.2">
      <c r="A116" s="279" t="str">
        <f>A92</f>
        <v>全体(n = 1,616 )　　</v>
      </c>
      <c r="B116" s="113">
        <f>B92</f>
        <v>1616</v>
      </c>
      <c r="C116" s="121">
        <v>1043</v>
      </c>
      <c r="D116" s="122">
        <v>1035</v>
      </c>
      <c r="E116" s="122">
        <v>453</v>
      </c>
      <c r="F116" s="122">
        <v>400</v>
      </c>
      <c r="G116" s="122">
        <v>263</v>
      </c>
      <c r="H116" s="122">
        <v>194</v>
      </c>
      <c r="I116" s="122">
        <v>140</v>
      </c>
      <c r="J116" s="122">
        <v>111</v>
      </c>
      <c r="K116" s="122">
        <v>111</v>
      </c>
      <c r="L116" s="122">
        <v>67</v>
      </c>
      <c r="M116" s="123">
        <v>42</v>
      </c>
      <c r="N116" s="122">
        <v>77</v>
      </c>
      <c r="O116" s="123">
        <v>62</v>
      </c>
      <c r="P116" s="124"/>
    </row>
    <row r="117" spans="1:16" x14ac:dyDescent="0.2">
      <c r="A117" s="280"/>
      <c r="B117" s="114">
        <f t="shared" ref="B117:B135" si="251">B93</f>
        <v>100</v>
      </c>
      <c r="C117" s="125">
        <v>64.542079207920793</v>
      </c>
      <c r="D117" s="126">
        <v>64.047029702970292</v>
      </c>
      <c r="E117" s="126">
        <v>28.032178217821784</v>
      </c>
      <c r="F117" s="126">
        <v>24.752475247524753</v>
      </c>
      <c r="G117" s="126">
        <v>16.274752475247524</v>
      </c>
      <c r="H117" s="126">
        <v>12.004950495049505</v>
      </c>
      <c r="I117" s="126">
        <v>8.6633663366336631</v>
      </c>
      <c r="J117" s="126">
        <v>6.8688118811881189</v>
      </c>
      <c r="K117" s="126">
        <v>6.8688118811881189</v>
      </c>
      <c r="L117" s="126">
        <v>4.1460396039603964</v>
      </c>
      <c r="M117" s="127">
        <v>2.5990099009900991</v>
      </c>
      <c r="N117" s="126">
        <v>4.7648514851485153</v>
      </c>
      <c r="O117" s="127">
        <v>3.8366336633663365</v>
      </c>
      <c r="P117" s="128"/>
    </row>
    <row r="118" spans="1:16" x14ac:dyDescent="0.2">
      <c r="A118" s="279" t="str">
        <f>A94</f>
        <v>自営業(n = 175 )　　</v>
      </c>
      <c r="B118" s="113">
        <f t="shared" si="251"/>
        <v>175</v>
      </c>
      <c r="C118" s="129">
        <v>110</v>
      </c>
      <c r="D118" s="130">
        <v>113</v>
      </c>
      <c r="E118" s="130">
        <v>69</v>
      </c>
      <c r="F118" s="130">
        <v>46</v>
      </c>
      <c r="G118" s="130">
        <v>15</v>
      </c>
      <c r="H118" s="130">
        <v>20</v>
      </c>
      <c r="I118" s="130">
        <v>18</v>
      </c>
      <c r="J118" s="130">
        <v>7</v>
      </c>
      <c r="K118" s="130">
        <v>17</v>
      </c>
      <c r="L118" s="130">
        <v>5</v>
      </c>
      <c r="M118" s="140">
        <v>1</v>
      </c>
      <c r="N118" s="130">
        <v>3</v>
      </c>
      <c r="O118" s="130">
        <v>8</v>
      </c>
      <c r="P118" s="131"/>
    </row>
    <row r="119" spans="1:16" x14ac:dyDescent="0.2">
      <c r="A119" s="280"/>
      <c r="B119" s="114">
        <f t="shared" si="251"/>
        <v>10.829207920792079</v>
      </c>
      <c r="C119" s="125">
        <v>62.857142857142854</v>
      </c>
      <c r="D119" s="126">
        <v>64.571428571428569</v>
      </c>
      <c r="E119" s="126">
        <v>39.428571428571431</v>
      </c>
      <c r="F119" s="126">
        <v>26.285714285714285</v>
      </c>
      <c r="G119" s="126">
        <v>8.5714285714285712</v>
      </c>
      <c r="H119" s="126">
        <v>11.428571428571429</v>
      </c>
      <c r="I119" s="126">
        <v>10.285714285714285</v>
      </c>
      <c r="J119" s="126">
        <v>4</v>
      </c>
      <c r="K119" s="126">
        <v>9.7142857142857135</v>
      </c>
      <c r="L119" s="126">
        <v>2.8571428571428572</v>
      </c>
      <c r="M119" s="127">
        <v>0.5714285714285714</v>
      </c>
      <c r="N119" s="126">
        <v>1.7142857142857144</v>
      </c>
      <c r="O119" s="126">
        <v>4.5714285714285712</v>
      </c>
      <c r="P119" s="128"/>
    </row>
    <row r="120" spans="1:16" x14ac:dyDescent="0.2">
      <c r="A120" s="279" t="str">
        <f>A96</f>
        <v>自由業(※1)(n = 12 )　　</v>
      </c>
      <c r="B120" s="113">
        <f t="shared" si="251"/>
        <v>12</v>
      </c>
      <c r="C120" s="129">
        <v>7</v>
      </c>
      <c r="D120" s="130">
        <v>7</v>
      </c>
      <c r="E120" s="130">
        <v>5</v>
      </c>
      <c r="F120" s="130">
        <v>2</v>
      </c>
      <c r="G120" s="130">
        <v>1</v>
      </c>
      <c r="H120" s="130">
        <v>0</v>
      </c>
      <c r="I120" s="130">
        <v>0</v>
      </c>
      <c r="J120" s="130">
        <v>0</v>
      </c>
      <c r="K120" s="130">
        <v>0</v>
      </c>
      <c r="L120" s="130">
        <v>0</v>
      </c>
      <c r="M120" s="140">
        <v>0</v>
      </c>
      <c r="N120" s="130">
        <v>1</v>
      </c>
      <c r="O120" s="130">
        <v>2</v>
      </c>
      <c r="P120" s="131"/>
    </row>
    <row r="121" spans="1:16" x14ac:dyDescent="0.2">
      <c r="A121" s="280"/>
      <c r="B121" s="114">
        <f t="shared" si="251"/>
        <v>0.74257425742574257</v>
      </c>
      <c r="C121" s="125">
        <v>58.333333333333336</v>
      </c>
      <c r="D121" s="126">
        <v>58.333333333333336</v>
      </c>
      <c r="E121" s="126">
        <v>41.666666666666671</v>
      </c>
      <c r="F121" s="126">
        <v>16.666666666666664</v>
      </c>
      <c r="G121" s="126">
        <v>8.3333333333333321</v>
      </c>
      <c r="H121" s="126">
        <v>0</v>
      </c>
      <c r="I121" s="126">
        <v>0</v>
      </c>
      <c r="J121" s="126">
        <v>0</v>
      </c>
      <c r="K121" s="126">
        <v>0</v>
      </c>
      <c r="L121" s="126">
        <v>0</v>
      </c>
      <c r="M121" s="127">
        <v>0</v>
      </c>
      <c r="N121" s="126">
        <v>8.3333333333333321</v>
      </c>
      <c r="O121" s="126">
        <v>16.666666666666664</v>
      </c>
      <c r="P121" s="128"/>
    </row>
    <row r="122" spans="1:16" x14ac:dyDescent="0.2">
      <c r="A122" s="279" t="str">
        <f>A98</f>
        <v>会社・団体役員(n = 171 )　　</v>
      </c>
      <c r="B122" s="113">
        <f t="shared" si="251"/>
        <v>171</v>
      </c>
      <c r="C122" s="129">
        <v>110</v>
      </c>
      <c r="D122" s="130">
        <v>90</v>
      </c>
      <c r="E122" s="130">
        <v>65</v>
      </c>
      <c r="F122" s="130">
        <v>33</v>
      </c>
      <c r="G122" s="130">
        <v>41</v>
      </c>
      <c r="H122" s="130">
        <v>15</v>
      </c>
      <c r="I122" s="130">
        <v>8</v>
      </c>
      <c r="J122" s="130">
        <v>13</v>
      </c>
      <c r="K122" s="130">
        <v>7</v>
      </c>
      <c r="L122" s="130">
        <v>14</v>
      </c>
      <c r="M122" s="140">
        <v>2</v>
      </c>
      <c r="N122" s="130">
        <v>6</v>
      </c>
      <c r="O122" s="130">
        <v>8</v>
      </c>
      <c r="P122" s="131"/>
    </row>
    <row r="123" spans="1:16" x14ac:dyDescent="0.2">
      <c r="A123" s="280"/>
      <c r="B123" s="114">
        <f t="shared" si="251"/>
        <v>10.581683168316831</v>
      </c>
      <c r="C123" s="125">
        <v>64.327485380116954</v>
      </c>
      <c r="D123" s="126">
        <v>52.631578947368418</v>
      </c>
      <c r="E123" s="126">
        <v>38.011695906432749</v>
      </c>
      <c r="F123" s="126">
        <v>19.298245614035086</v>
      </c>
      <c r="G123" s="126">
        <v>23.976608187134502</v>
      </c>
      <c r="H123" s="126">
        <v>8.7719298245614024</v>
      </c>
      <c r="I123" s="126">
        <v>4.6783625730994149</v>
      </c>
      <c r="J123" s="126">
        <v>7.6023391812865491</v>
      </c>
      <c r="K123" s="126">
        <v>4.0935672514619883</v>
      </c>
      <c r="L123" s="126">
        <v>8.1871345029239766</v>
      </c>
      <c r="M123" s="127">
        <v>1.1695906432748537</v>
      </c>
      <c r="N123" s="126">
        <v>3.5087719298245612</v>
      </c>
      <c r="O123" s="126">
        <v>4.6783625730994149</v>
      </c>
      <c r="P123" s="128"/>
    </row>
    <row r="124" spans="1:16" x14ac:dyDescent="0.2">
      <c r="A124" s="283" t="str">
        <f>A100</f>
        <v>正規の従業員・職員(n = 423 )　　</v>
      </c>
      <c r="B124" s="113">
        <f t="shared" si="251"/>
        <v>423</v>
      </c>
      <c r="C124" s="129">
        <v>301</v>
      </c>
      <c r="D124" s="130">
        <v>248</v>
      </c>
      <c r="E124" s="130">
        <v>159</v>
      </c>
      <c r="F124" s="130">
        <v>88</v>
      </c>
      <c r="G124" s="130">
        <v>101</v>
      </c>
      <c r="H124" s="130">
        <v>48</v>
      </c>
      <c r="I124" s="130">
        <v>37</v>
      </c>
      <c r="J124" s="130">
        <v>33</v>
      </c>
      <c r="K124" s="130">
        <v>29</v>
      </c>
      <c r="L124" s="130">
        <v>26</v>
      </c>
      <c r="M124" s="140">
        <v>4</v>
      </c>
      <c r="N124" s="130">
        <v>20</v>
      </c>
      <c r="O124" s="130">
        <v>11</v>
      </c>
      <c r="P124" s="131"/>
    </row>
    <row r="125" spans="1:16" x14ac:dyDescent="0.2">
      <c r="A125" s="284"/>
      <c r="B125" s="114">
        <f t="shared" si="251"/>
        <v>26.175742574257427</v>
      </c>
      <c r="C125" s="125">
        <v>71.158392434988187</v>
      </c>
      <c r="D125" s="126">
        <v>58.628841607565008</v>
      </c>
      <c r="E125" s="126">
        <v>37.588652482269502</v>
      </c>
      <c r="F125" s="126">
        <v>20.803782505910164</v>
      </c>
      <c r="G125" s="126">
        <v>23.877068557919621</v>
      </c>
      <c r="H125" s="126">
        <v>11.347517730496454</v>
      </c>
      <c r="I125" s="126">
        <v>8.7470449172576838</v>
      </c>
      <c r="J125" s="126">
        <v>7.8014184397163122</v>
      </c>
      <c r="K125" s="126">
        <v>6.8557919621749415</v>
      </c>
      <c r="L125" s="126">
        <v>6.1465721040189125</v>
      </c>
      <c r="M125" s="127">
        <v>0.94562647754137119</v>
      </c>
      <c r="N125" s="126">
        <v>4.7281323877068555</v>
      </c>
      <c r="O125" s="126">
        <v>2.6004728132387704</v>
      </c>
      <c r="P125" s="128"/>
    </row>
    <row r="126" spans="1:16" x14ac:dyDescent="0.2">
      <c r="A126" s="281" t="str">
        <f>A102</f>
        <v>パートタイム・アルバイト・派遣(n = 346 )　　</v>
      </c>
      <c r="B126" s="113">
        <f t="shared" si="251"/>
        <v>346</v>
      </c>
      <c r="C126" s="129">
        <v>249</v>
      </c>
      <c r="D126" s="130">
        <v>225</v>
      </c>
      <c r="E126" s="130">
        <v>110</v>
      </c>
      <c r="F126" s="130">
        <v>79</v>
      </c>
      <c r="G126" s="130">
        <v>71</v>
      </c>
      <c r="H126" s="130">
        <v>39</v>
      </c>
      <c r="I126" s="130">
        <v>32</v>
      </c>
      <c r="J126" s="130">
        <v>24</v>
      </c>
      <c r="K126" s="130">
        <v>28</v>
      </c>
      <c r="L126" s="130">
        <v>10</v>
      </c>
      <c r="M126" s="140">
        <v>4</v>
      </c>
      <c r="N126" s="130">
        <v>17</v>
      </c>
      <c r="O126" s="130">
        <v>11</v>
      </c>
      <c r="P126" s="131"/>
    </row>
    <row r="127" spans="1:16" x14ac:dyDescent="0.2">
      <c r="A127" s="282"/>
      <c r="B127" s="114">
        <f t="shared" si="251"/>
        <v>21.410891089108912</v>
      </c>
      <c r="C127" s="125">
        <v>71.965317919075147</v>
      </c>
      <c r="D127" s="126">
        <v>65.028901734104053</v>
      </c>
      <c r="E127" s="126">
        <v>31.79190751445087</v>
      </c>
      <c r="F127" s="126">
        <v>22.832369942196532</v>
      </c>
      <c r="G127" s="126">
        <v>20.520231213872833</v>
      </c>
      <c r="H127" s="126">
        <v>11.271676300578035</v>
      </c>
      <c r="I127" s="126">
        <v>9.2485549132947966</v>
      </c>
      <c r="J127" s="126">
        <v>6.9364161849710975</v>
      </c>
      <c r="K127" s="126">
        <v>8.0924855491329488</v>
      </c>
      <c r="L127" s="126">
        <v>2.8901734104046244</v>
      </c>
      <c r="M127" s="127">
        <v>1.1560693641618496</v>
      </c>
      <c r="N127" s="126">
        <v>4.9132947976878611</v>
      </c>
      <c r="O127" s="126">
        <v>3.1791907514450863</v>
      </c>
      <c r="P127" s="128"/>
    </row>
    <row r="128" spans="1:16" x14ac:dyDescent="0.2">
      <c r="A128" s="279" t="str">
        <f>A104</f>
        <v>学生(n = 44 )　　</v>
      </c>
      <c r="B128" s="113">
        <f t="shared" si="251"/>
        <v>44</v>
      </c>
      <c r="C128" s="129">
        <v>25</v>
      </c>
      <c r="D128" s="130">
        <v>11</v>
      </c>
      <c r="E128" s="130">
        <v>8</v>
      </c>
      <c r="F128" s="130">
        <v>5</v>
      </c>
      <c r="G128" s="130">
        <v>1</v>
      </c>
      <c r="H128" s="130">
        <v>5</v>
      </c>
      <c r="I128" s="130">
        <v>2</v>
      </c>
      <c r="J128" s="130">
        <v>4</v>
      </c>
      <c r="K128" s="130">
        <v>1</v>
      </c>
      <c r="L128" s="130">
        <v>4</v>
      </c>
      <c r="M128" s="140">
        <v>17</v>
      </c>
      <c r="N128" s="130">
        <v>2</v>
      </c>
      <c r="O128" s="130">
        <v>9</v>
      </c>
      <c r="P128" s="131"/>
    </row>
    <row r="129" spans="1:31" x14ac:dyDescent="0.2">
      <c r="A129" s="280"/>
      <c r="B129" s="114">
        <f t="shared" si="251"/>
        <v>2.722772277227723</v>
      </c>
      <c r="C129" s="125">
        <v>56.81818181818182</v>
      </c>
      <c r="D129" s="126">
        <v>25</v>
      </c>
      <c r="E129" s="126">
        <v>18.181818181818183</v>
      </c>
      <c r="F129" s="126">
        <v>11.363636363636363</v>
      </c>
      <c r="G129" s="126">
        <v>2.2727272727272729</v>
      </c>
      <c r="H129" s="126">
        <v>11.363636363636363</v>
      </c>
      <c r="I129" s="126">
        <v>4.5454545454545459</v>
      </c>
      <c r="J129" s="126">
        <v>9.0909090909090917</v>
      </c>
      <c r="K129" s="126">
        <v>2.2727272727272729</v>
      </c>
      <c r="L129" s="126">
        <v>9.0909090909090917</v>
      </c>
      <c r="M129" s="127">
        <v>38.636363636363633</v>
      </c>
      <c r="N129" s="126">
        <v>4.5454545454545459</v>
      </c>
      <c r="O129" s="126">
        <v>20.454545454545457</v>
      </c>
      <c r="P129" s="128"/>
    </row>
    <row r="130" spans="1:31" x14ac:dyDescent="0.2">
      <c r="A130" s="279" t="str">
        <f>A106</f>
        <v>家事従事(n = 150 )　　</v>
      </c>
      <c r="B130" s="113">
        <f t="shared" si="251"/>
        <v>150</v>
      </c>
      <c r="C130" s="129">
        <v>81</v>
      </c>
      <c r="D130" s="130">
        <v>108</v>
      </c>
      <c r="E130" s="130">
        <v>17</v>
      </c>
      <c r="F130" s="130">
        <v>48</v>
      </c>
      <c r="G130" s="130">
        <v>26</v>
      </c>
      <c r="H130" s="130">
        <v>22</v>
      </c>
      <c r="I130" s="130">
        <v>16</v>
      </c>
      <c r="J130" s="130">
        <v>15</v>
      </c>
      <c r="K130" s="130">
        <v>12</v>
      </c>
      <c r="L130" s="130">
        <v>3</v>
      </c>
      <c r="M130" s="140">
        <v>5</v>
      </c>
      <c r="N130" s="130">
        <v>10</v>
      </c>
      <c r="O130" s="130">
        <v>5</v>
      </c>
      <c r="P130" s="131"/>
    </row>
    <row r="131" spans="1:31" x14ac:dyDescent="0.2">
      <c r="A131" s="280"/>
      <c r="B131" s="114">
        <f t="shared" si="251"/>
        <v>9.282178217821782</v>
      </c>
      <c r="C131" s="125">
        <v>54</v>
      </c>
      <c r="D131" s="126">
        <v>72</v>
      </c>
      <c r="E131" s="126">
        <v>11.333333333333332</v>
      </c>
      <c r="F131" s="126">
        <v>32</v>
      </c>
      <c r="G131" s="126">
        <v>17.333333333333336</v>
      </c>
      <c r="H131" s="126">
        <v>14.666666666666666</v>
      </c>
      <c r="I131" s="126">
        <v>10.666666666666668</v>
      </c>
      <c r="J131" s="126">
        <v>10</v>
      </c>
      <c r="K131" s="126">
        <v>8</v>
      </c>
      <c r="L131" s="126">
        <v>2</v>
      </c>
      <c r="M131" s="127">
        <v>3.3333333333333335</v>
      </c>
      <c r="N131" s="126">
        <v>6.666666666666667</v>
      </c>
      <c r="O131" s="126">
        <v>3.3333333333333335</v>
      </c>
      <c r="P131" s="128"/>
    </row>
    <row r="132" spans="1:31" x14ac:dyDescent="0.2">
      <c r="A132" s="279" t="str">
        <f>A108</f>
        <v>無職(n = 263 )　　</v>
      </c>
      <c r="B132" s="113">
        <f t="shared" si="251"/>
        <v>263</v>
      </c>
      <c r="C132" s="129">
        <v>144</v>
      </c>
      <c r="D132" s="130">
        <v>222</v>
      </c>
      <c r="E132" s="130">
        <v>13</v>
      </c>
      <c r="F132" s="130">
        <v>94</v>
      </c>
      <c r="G132" s="130">
        <v>5</v>
      </c>
      <c r="H132" s="130">
        <v>44</v>
      </c>
      <c r="I132" s="130">
        <v>25</v>
      </c>
      <c r="J132" s="130">
        <v>15</v>
      </c>
      <c r="K132" s="130">
        <v>17</v>
      </c>
      <c r="L132" s="130">
        <v>4</v>
      </c>
      <c r="M132" s="140">
        <v>9</v>
      </c>
      <c r="N132" s="130">
        <v>16</v>
      </c>
      <c r="O132" s="130">
        <v>7</v>
      </c>
      <c r="P132" s="131"/>
    </row>
    <row r="133" spans="1:31" x14ac:dyDescent="0.2">
      <c r="A133" s="280"/>
      <c r="B133" s="114">
        <f t="shared" si="251"/>
        <v>16.274752475247524</v>
      </c>
      <c r="C133" s="125">
        <v>54.752851711026615</v>
      </c>
      <c r="D133" s="126">
        <v>84.410646387832699</v>
      </c>
      <c r="E133" s="126">
        <v>4.9429657794676807</v>
      </c>
      <c r="F133" s="126">
        <v>35.741444866920155</v>
      </c>
      <c r="G133" s="126">
        <v>1.9011406844106464</v>
      </c>
      <c r="H133" s="126">
        <v>16.730038022813687</v>
      </c>
      <c r="I133" s="126">
        <v>9.5057034220532319</v>
      </c>
      <c r="J133" s="126">
        <v>5.7034220532319395</v>
      </c>
      <c r="K133" s="126">
        <v>6.4638783269961975</v>
      </c>
      <c r="L133" s="126">
        <v>1.520912547528517</v>
      </c>
      <c r="M133" s="127">
        <v>3.4220532319391634</v>
      </c>
      <c r="N133" s="126">
        <v>6.083650190114068</v>
      </c>
      <c r="O133" s="126">
        <v>2.6615969581749046</v>
      </c>
      <c r="P133" s="128"/>
    </row>
    <row r="134" spans="1:31" x14ac:dyDescent="0.2">
      <c r="A134" s="279" t="str">
        <f>A110</f>
        <v>その他(n = 18 )　　</v>
      </c>
      <c r="B134" s="113">
        <f t="shared" si="251"/>
        <v>18</v>
      </c>
      <c r="C134" s="129">
        <v>16</v>
      </c>
      <c r="D134" s="130">
        <v>11</v>
      </c>
      <c r="E134" s="130">
        <v>7</v>
      </c>
      <c r="F134" s="130">
        <v>5</v>
      </c>
      <c r="G134" s="130">
        <v>2</v>
      </c>
      <c r="H134" s="130">
        <v>1</v>
      </c>
      <c r="I134" s="130">
        <v>2</v>
      </c>
      <c r="J134" s="130">
        <v>0</v>
      </c>
      <c r="K134" s="130">
        <v>0</v>
      </c>
      <c r="L134" s="130">
        <v>1</v>
      </c>
      <c r="M134" s="140">
        <v>0</v>
      </c>
      <c r="N134" s="130">
        <v>2</v>
      </c>
      <c r="O134" s="130">
        <v>1</v>
      </c>
      <c r="P134" s="131"/>
    </row>
    <row r="135" spans="1:31" ht="12.75" customHeight="1" x14ac:dyDescent="0.2">
      <c r="A135" s="280"/>
      <c r="B135" s="114">
        <f t="shared" si="251"/>
        <v>1.1138613861386137</v>
      </c>
      <c r="C135" s="125">
        <v>88.888888888888886</v>
      </c>
      <c r="D135" s="126">
        <v>61.111111111111114</v>
      </c>
      <c r="E135" s="126">
        <v>38.888888888888893</v>
      </c>
      <c r="F135" s="126">
        <v>27.777777777777779</v>
      </c>
      <c r="G135" s="126">
        <v>11.111111111111111</v>
      </c>
      <c r="H135" s="126">
        <v>5.5555555555555554</v>
      </c>
      <c r="I135" s="126">
        <v>11.111111111111111</v>
      </c>
      <c r="J135" s="126">
        <v>0</v>
      </c>
      <c r="K135" s="126">
        <v>0</v>
      </c>
      <c r="L135" s="126">
        <v>5.5555555555555554</v>
      </c>
      <c r="M135" s="127">
        <v>0</v>
      </c>
      <c r="N135" s="126">
        <v>11.111111111111111</v>
      </c>
      <c r="O135" s="126">
        <v>5.5555555555555554</v>
      </c>
      <c r="P135" s="128"/>
    </row>
    <row r="136" spans="1:31" ht="12.75" customHeight="1" x14ac:dyDescent="0.2"/>
    <row r="137" spans="1:31" ht="12.75" customHeight="1" x14ac:dyDescent="0.2">
      <c r="A137" s="36" t="s">
        <v>61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R137" s="45"/>
      <c r="S137" s="27">
        <v>1</v>
      </c>
      <c r="T137" s="27">
        <v>2</v>
      </c>
      <c r="U137" s="27">
        <v>3</v>
      </c>
      <c r="V137" s="27">
        <v>4</v>
      </c>
      <c r="W137" s="27">
        <v>5</v>
      </c>
      <c r="X137" s="27">
        <v>6</v>
      </c>
      <c r="Y137" s="27">
        <v>7</v>
      </c>
      <c r="Z137" s="27">
        <v>8</v>
      </c>
      <c r="AA137" s="27">
        <v>9</v>
      </c>
      <c r="AB137" s="27">
        <v>10</v>
      </c>
      <c r="AC137" s="27">
        <v>11</v>
      </c>
      <c r="AD137" s="27">
        <v>12</v>
      </c>
      <c r="AE137" s="27">
        <v>13</v>
      </c>
    </row>
    <row r="138" spans="1:31" ht="68.25" customHeight="1" x14ac:dyDescent="0.2">
      <c r="A138" s="12" t="str">
        <f>A115</f>
        <v>【職業別】</v>
      </c>
      <c r="B138" s="59" t="str">
        <f>B115</f>
        <v>調査数</v>
      </c>
      <c r="C138" s="60" t="str">
        <f t="shared" ref="C138:O142" si="252">C115</f>
        <v>収入・貯蓄</v>
      </c>
      <c r="D138" s="61" t="str">
        <f t="shared" si="252"/>
        <v>健康・体力</v>
      </c>
      <c r="E138" s="61" t="str">
        <f t="shared" si="252"/>
        <v>仕事</v>
      </c>
      <c r="F138" s="61" t="str">
        <f t="shared" si="252"/>
        <v>介護</v>
      </c>
      <c r="G138" s="61" t="str">
        <f t="shared" si="252"/>
        <v>子育て・子どもの教育</v>
      </c>
      <c r="H138" s="61" t="str">
        <f>H115</f>
        <v>地域の住環境（上下水道、公園、
        道路、公共交通機関など）</v>
      </c>
      <c r="I138" s="61" t="str">
        <f t="shared" si="252"/>
        <v>住宅</v>
      </c>
      <c r="J138" s="61" t="str">
        <f t="shared" si="252"/>
        <v>家庭での人間関係</v>
      </c>
      <c r="K138" s="61" t="str">
        <f t="shared" si="252"/>
        <v>地域での人間関係</v>
      </c>
      <c r="L138" s="61" t="str">
        <f t="shared" si="252"/>
        <v>結婚</v>
      </c>
      <c r="M138" s="61" t="str">
        <f t="shared" si="252"/>
        <v>就職</v>
      </c>
      <c r="N138" s="62" t="str">
        <f t="shared" si="252"/>
        <v>その他</v>
      </c>
      <c r="O138" s="62" t="str">
        <f t="shared" si="252"/>
        <v>特にない</v>
      </c>
      <c r="P138" s="63"/>
      <c r="Q138" s="44" t="s">
        <v>32</v>
      </c>
      <c r="R138" s="12" t="str">
        <f>A138</f>
        <v>【職業別】</v>
      </c>
      <c r="S138" s="60" t="str">
        <f>C138</f>
        <v>収入・貯蓄</v>
      </c>
      <c r="T138" s="61" t="str">
        <f t="shared" ref="T138:AE138" si="253">D138</f>
        <v>健康・体力</v>
      </c>
      <c r="U138" s="61" t="str">
        <f t="shared" si="253"/>
        <v>仕事</v>
      </c>
      <c r="V138" s="61" t="str">
        <f t="shared" si="253"/>
        <v>介護</v>
      </c>
      <c r="W138" s="61" t="str">
        <f t="shared" si="253"/>
        <v>子育て・子どもの教育</v>
      </c>
      <c r="X138" s="62" t="str">
        <f t="shared" si="253"/>
        <v>地域の住環境（上下水道、公園、
        道路、公共交通機関など）</v>
      </c>
      <c r="Y138" s="106" t="str">
        <f t="shared" si="253"/>
        <v>住宅</v>
      </c>
      <c r="Z138" s="105" t="str">
        <f t="shared" si="253"/>
        <v>家庭での人間関係</v>
      </c>
      <c r="AA138" s="61" t="str">
        <f t="shared" si="253"/>
        <v>地域での人間関係</v>
      </c>
      <c r="AB138" s="61" t="str">
        <f t="shared" si="253"/>
        <v>結婚</v>
      </c>
      <c r="AC138" s="61" t="str">
        <f t="shared" si="253"/>
        <v>就職</v>
      </c>
      <c r="AD138" s="62" t="str">
        <f t="shared" si="253"/>
        <v>その他</v>
      </c>
      <c r="AE138" s="63" t="str">
        <f t="shared" si="253"/>
        <v>特にない</v>
      </c>
    </row>
    <row r="139" spans="1:31" ht="12.75" customHeight="1" x14ac:dyDescent="0.2">
      <c r="A139" s="269" t="str">
        <f>'問2S（表）'!J67</f>
        <v>全体(n = 1,616 )　　</v>
      </c>
      <c r="B139" s="113">
        <f>B116</f>
        <v>1616</v>
      </c>
      <c r="C139" s="129">
        <f>C116</f>
        <v>1043</v>
      </c>
      <c r="D139" s="130">
        <f t="shared" si="252"/>
        <v>1035</v>
      </c>
      <c r="E139" s="130">
        <f t="shared" si="252"/>
        <v>453</v>
      </c>
      <c r="F139" s="130">
        <f t="shared" si="252"/>
        <v>400</v>
      </c>
      <c r="G139" s="130">
        <f t="shared" si="252"/>
        <v>263</v>
      </c>
      <c r="H139" s="130">
        <f t="shared" si="252"/>
        <v>194</v>
      </c>
      <c r="I139" s="130">
        <f t="shared" si="252"/>
        <v>140</v>
      </c>
      <c r="J139" s="130">
        <f t="shared" si="252"/>
        <v>111</v>
      </c>
      <c r="K139" s="130">
        <f t="shared" si="252"/>
        <v>111</v>
      </c>
      <c r="L139" s="130">
        <f t="shared" si="252"/>
        <v>67</v>
      </c>
      <c r="M139" s="130">
        <f t="shared" si="252"/>
        <v>42</v>
      </c>
      <c r="N139" s="130">
        <f t="shared" si="252"/>
        <v>77</v>
      </c>
      <c r="O139" s="140">
        <f t="shared" si="252"/>
        <v>62</v>
      </c>
      <c r="P139" s="131"/>
      <c r="Q139" s="104">
        <f>SUM($C139:P139)</f>
        <v>3998</v>
      </c>
      <c r="R139" s="93" t="str">
        <f>A141</f>
        <v>自営業(n = 175 )　　</v>
      </c>
      <c r="S139" s="84">
        <f>C142</f>
        <v>62.857142857142854</v>
      </c>
      <c r="T139" s="85">
        <f t="shared" ref="T139:AE139" si="254">D142</f>
        <v>64.571428571428569</v>
      </c>
      <c r="U139" s="85">
        <f t="shared" si="254"/>
        <v>39.428571428571431</v>
      </c>
      <c r="V139" s="85">
        <f t="shared" si="254"/>
        <v>26.285714285714285</v>
      </c>
      <c r="W139" s="85">
        <f t="shared" si="254"/>
        <v>8.5714285714285712</v>
      </c>
      <c r="X139" s="86">
        <f t="shared" si="254"/>
        <v>11.428571428571429</v>
      </c>
      <c r="Y139" s="108">
        <f t="shared" si="254"/>
        <v>10.285714285714285</v>
      </c>
      <c r="Z139" s="157">
        <f t="shared" si="254"/>
        <v>4</v>
      </c>
      <c r="AA139" s="85">
        <f t="shared" si="254"/>
        <v>9.7142857142857135</v>
      </c>
      <c r="AB139" s="85">
        <f t="shared" si="254"/>
        <v>2.8571428571428572</v>
      </c>
      <c r="AC139" s="85">
        <f t="shared" si="254"/>
        <v>0.5714285714285714</v>
      </c>
      <c r="AD139" s="86">
        <f t="shared" si="254"/>
        <v>1.7142857142857144</v>
      </c>
      <c r="AE139" s="87">
        <f t="shared" si="254"/>
        <v>4.5714285714285712</v>
      </c>
    </row>
    <row r="140" spans="1:31" ht="13.5" customHeight="1" x14ac:dyDescent="0.2">
      <c r="A140" s="270"/>
      <c r="B140" s="114">
        <f t="shared" ref="B140:B142" si="255">B117</f>
        <v>100</v>
      </c>
      <c r="C140" s="125">
        <f t="shared" ref="C140:D142" si="256">C117</f>
        <v>64.542079207920793</v>
      </c>
      <c r="D140" s="126">
        <f t="shared" si="256"/>
        <v>64.047029702970292</v>
      </c>
      <c r="E140" s="126">
        <f t="shared" si="252"/>
        <v>28.032178217821784</v>
      </c>
      <c r="F140" s="126">
        <f t="shared" si="252"/>
        <v>24.752475247524753</v>
      </c>
      <c r="G140" s="126">
        <f t="shared" si="252"/>
        <v>16.274752475247524</v>
      </c>
      <c r="H140" s="126">
        <f t="shared" si="252"/>
        <v>12.004950495049505</v>
      </c>
      <c r="I140" s="126">
        <f t="shared" si="252"/>
        <v>8.6633663366336631</v>
      </c>
      <c r="J140" s="126">
        <f t="shared" si="252"/>
        <v>6.8688118811881189</v>
      </c>
      <c r="K140" s="126">
        <f t="shared" si="252"/>
        <v>6.8688118811881189</v>
      </c>
      <c r="L140" s="126">
        <f t="shared" si="252"/>
        <v>4.1460396039603964</v>
      </c>
      <c r="M140" s="126">
        <f t="shared" si="252"/>
        <v>2.5990099009900991</v>
      </c>
      <c r="N140" s="126">
        <f t="shared" si="252"/>
        <v>4.7648514851485153</v>
      </c>
      <c r="O140" s="127">
        <f t="shared" si="252"/>
        <v>3.8366336633663365</v>
      </c>
      <c r="P140" s="128"/>
      <c r="Q140" s="104"/>
      <c r="R140" s="95" t="str">
        <f>A143</f>
        <v>会社・団体役員(n = 171 )　　</v>
      </c>
      <c r="S140" s="88">
        <f>C144</f>
        <v>64.327485380116954</v>
      </c>
      <c r="T140" s="89">
        <f t="shared" ref="T140:AE140" si="257">D144</f>
        <v>52.631578947368418</v>
      </c>
      <c r="U140" s="89">
        <f t="shared" si="257"/>
        <v>38.011695906432749</v>
      </c>
      <c r="V140" s="89">
        <f t="shared" si="257"/>
        <v>19.298245614035086</v>
      </c>
      <c r="W140" s="89">
        <f t="shared" si="257"/>
        <v>23.976608187134502</v>
      </c>
      <c r="X140" s="90">
        <f t="shared" si="257"/>
        <v>8.7719298245614024</v>
      </c>
      <c r="Y140" s="109">
        <f t="shared" si="257"/>
        <v>4.6783625730994149</v>
      </c>
      <c r="Z140" s="158">
        <f t="shared" si="257"/>
        <v>7.6023391812865491</v>
      </c>
      <c r="AA140" s="89">
        <f t="shared" si="257"/>
        <v>4.0935672514619883</v>
      </c>
      <c r="AB140" s="89">
        <f t="shared" si="257"/>
        <v>8.1871345029239766</v>
      </c>
      <c r="AC140" s="89">
        <f t="shared" si="257"/>
        <v>1.1695906432748537</v>
      </c>
      <c r="AD140" s="90">
        <f t="shared" si="257"/>
        <v>3.5087719298245612</v>
      </c>
      <c r="AE140" s="91">
        <f t="shared" si="257"/>
        <v>4.6783625730994149</v>
      </c>
    </row>
    <row r="141" spans="1:31" ht="13.5" customHeight="1" x14ac:dyDescent="0.2">
      <c r="A141" s="269" t="str">
        <f>'問2S（表）'!J69</f>
        <v>自営業(n = 175 )　　</v>
      </c>
      <c r="B141" s="113">
        <f t="shared" si="255"/>
        <v>175</v>
      </c>
      <c r="C141" s="129">
        <f t="shared" si="256"/>
        <v>110</v>
      </c>
      <c r="D141" s="130">
        <f t="shared" si="256"/>
        <v>113</v>
      </c>
      <c r="E141" s="130">
        <f t="shared" si="252"/>
        <v>69</v>
      </c>
      <c r="F141" s="130">
        <f t="shared" si="252"/>
        <v>46</v>
      </c>
      <c r="G141" s="130">
        <f t="shared" si="252"/>
        <v>15</v>
      </c>
      <c r="H141" s="130">
        <f t="shared" si="252"/>
        <v>20</v>
      </c>
      <c r="I141" s="130">
        <f t="shared" si="252"/>
        <v>18</v>
      </c>
      <c r="J141" s="130">
        <f t="shared" si="252"/>
        <v>7</v>
      </c>
      <c r="K141" s="130">
        <f t="shared" si="252"/>
        <v>17</v>
      </c>
      <c r="L141" s="130">
        <f t="shared" si="252"/>
        <v>5</v>
      </c>
      <c r="M141" s="130">
        <f t="shared" si="252"/>
        <v>1</v>
      </c>
      <c r="N141" s="130">
        <f t="shared" si="252"/>
        <v>3</v>
      </c>
      <c r="O141" s="140">
        <f t="shared" si="252"/>
        <v>8</v>
      </c>
      <c r="P141" s="131"/>
      <c r="Q141" s="104">
        <f>SUM($C141:P141)</f>
        <v>432</v>
      </c>
      <c r="R141" s="95" t="str">
        <f>A145</f>
        <v>正規の従業員・職員(n = 423 )　　</v>
      </c>
      <c r="S141" s="88">
        <f>C146</f>
        <v>71.158392434988187</v>
      </c>
      <c r="T141" s="89">
        <f t="shared" ref="T141:AE141" si="258">D146</f>
        <v>58.628841607565008</v>
      </c>
      <c r="U141" s="89">
        <f t="shared" si="258"/>
        <v>37.588652482269502</v>
      </c>
      <c r="V141" s="89">
        <f t="shared" si="258"/>
        <v>20.803782505910164</v>
      </c>
      <c r="W141" s="89">
        <f t="shared" si="258"/>
        <v>23.877068557919621</v>
      </c>
      <c r="X141" s="90">
        <f t="shared" si="258"/>
        <v>11.347517730496454</v>
      </c>
      <c r="Y141" s="109">
        <f t="shared" si="258"/>
        <v>8.7470449172576838</v>
      </c>
      <c r="Z141" s="158">
        <f t="shared" si="258"/>
        <v>7.8014184397163122</v>
      </c>
      <c r="AA141" s="89">
        <f t="shared" si="258"/>
        <v>6.8557919621749415</v>
      </c>
      <c r="AB141" s="89">
        <f t="shared" si="258"/>
        <v>6.1465721040189125</v>
      </c>
      <c r="AC141" s="89">
        <f t="shared" si="258"/>
        <v>0.94562647754137119</v>
      </c>
      <c r="AD141" s="90">
        <f t="shared" si="258"/>
        <v>4.7281323877068555</v>
      </c>
      <c r="AE141" s="91">
        <f t="shared" si="258"/>
        <v>2.6004728132387704</v>
      </c>
    </row>
    <row r="142" spans="1:31" ht="13.5" customHeight="1" x14ac:dyDescent="0.2">
      <c r="A142" s="270"/>
      <c r="B142" s="114">
        <f t="shared" si="255"/>
        <v>10.829207920792079</v>
      </c>
      <c r="C142" s="125">
        <f t="shared" si="256"/>
        <v>62.857142857142854</v>
      </c>
      <c r="D142" s="126">
        <f t="shared" si="256"/>
        <v>64.571428571428569</v>
      </c>
      <c r="E142" s="126">
        <f t="shared" si="252"/>
        <v>39.428571428571431</v>
      </c>
      <c r="F142" s="126">
        <f t="shared" si="252"/>
        <v>26.285714285714285</v>
      </c>
      <c r="G142" s="126">
        <f t="shared" si="252"/>
        <v>8.5714285714285712</v>
      </c>
      <c r="H142" s="126">
        <f t="shared" si="252"/>
        <v>11.428571428571429</v>
      </c>
      <c r="I142" s="126">
        <f t="shared" si="252"/>
        <v>10.285714285714285</v>
      </c>
      <c r="J142" s="126">
        <f t="shared" si="252"/>
        <v>4</v>
      </c>
      <c r="K142" s="126">
        <f t="shared" si="252"/>
        <v>9.7142857142857135</v>
      </c>
      <c r="L142" s="126">
        <f t="shared" si="252"/>
        <v>2.8571428571428572</v>
      </c>
      <c r="M142" s="126">
        <f t="shared" si="252"/>
        <v>0.5714285714285714</v>
      </c>
      <c r="N142" s="126">
        <f t="shared" si="252"/>
        <v>1.7142857142857144</v>
      </c>
      <c r="O142" s="127">
        <f t="shared" si="252"/>
        <v>4.5714285714285712</v>
      </c>
      <c r="P142" s="128"/>
      <c r="Q142" s="104"/>
      <c r="R142" s="95" t="str">
        <f>A147</f>
        <v>パートタイム・アルバイト・派遣(n = 346 )　　</v>
      </c>
      <c r="S142" s="88">
        <f>C148</f>
        <v>71.965317919075147</v>
      </c>
      <c r="T142" s="89">
        <f t="shared" ref="T142:AE142" si="259">D148</f>
        <v>65.028901734104053</v>
      </c>
      <c r="U142" s="89">
        <f t="shared" si="259"/>
        <v>31.79190751445087</v>
      </c>
      <c r="V142" s="89">
        <f t="shared" si="259"/>
        <v>22.832369942196532</v>
      </c>
      <c r="W142" s="89">
        <f t="shared" si="259"/>
        <v>20.520231213872833</v>
      </c>
      <c r="X142" s="90">
        <f t="shared" si="259"/>
        <v>11.271676300578035</v>
      </c>
      <c r="Y142" s="109">
        <f t="shared" si="259"/>
        <v>9.2485549132947966</v>
      </c>
      <c r="Z142" s="158">
        <f t="shared" si="259"/>
        <v>6.9364161849710975</v>
      </c>
      <c r="AA142" s="89">
        <f t="shared" si="259"/>
        <v>8.0924855491329488</v>
      </c>
      <c r="AB142" s="89">
        <f t="shared" si="259"/>
        <v>2.8901734104046244</v>
      </c>
      <c r="AC142" s="89">
        <f t="shared" si="259"/>
        <v>1.1560693641618496</v>
      </c>
      <c r="AD142" s="90">
        <f t="shared" si="259"/>
        <v>4.9132947976878611</v>
      </c>
      <c r="AE142" s="91">
        <f t="shared" si="259"/>
        <v>3.1791907514450863</v>
      </c>
    </row>
    <row r="143" spans="1:31" ht="13.5" customHeight="1" x14ac:dyDescent="0.2">
      <c r="A143" s="269" t="str">
        <f>'問2S（表）'!J71</f>
        <v>会社・団体役員(n = 171 )　　</v>
      </c>
      <c r="B143" s="113">
        <f>B122</f>
        <v>171</v>
      </c>
      <c r="C143" s="129">
        <f>C122</f>
        <v>110</v>
      </c>
      <c r="D143" s="130">
        <f t="shared" ref="D143:O148" si="260">D122</f>
        <v>90</v>
      </c>
      <c r="E143" s="130">
        <f t="shared" si="260"/>
        <v>65</v>
      </c>
      <c r="F143" s="130">
        <f t="shared" si="260"/>
        <v>33</v>
      </c>
      <c r="G143" s="130">
        <f t="shared" si="260"/>
        <v>41</v>
      </c>
      <c r="H143" s="130">
        <f t="shared" si="260"/>
        <v>15</v>
      </c>
      <c r="I143" s="130">
        <f t="shared" si="260"/>
        <v>8</v>
      </c>
      <c r="J143" s="130">
        <f t="shared" si="260"/>
        <v>13</v>
      </c>
      <c r="K143" s="130">
        <f t="shared" si="260"/>
        <v>7</v>
      </c>
      <c r="L143" s="130">
        <f t="shared" si="260"/>
        <v>14</v>
      </c>
      <c r="M143" s="130">
        <f t="shared" si="260"/>
        <v>2</v>
      </c>
      <c r="N143" s="130">
        <f t="shared" si="260"/>
        <v>6</v>
      </c>
      <c r="O143" s="140">
        <f t="shared" si="260"/>
        <v>8</v>
      </c>
      <c r="P143" s="131"/>
      <c r="Q143" s="104">
        <f>SUM($C143:P143)</f>
        <v>412</v>
      </c>
      <c r="R143" s="96" t="str">
        <f>A149</f>
        <v>家事従事(n = 150 )　　</v>
      </c>
      <c r="S143" s="97">
        <f>C150</f>
        <v>54</v>
      </c>
      <c r="T143" s="98">
        <f t="shared" ref="T143:AE143" si="261">D150</f>
        <v>72</v>
      </c>
      <c r="U143" s="98">
        <f t="shared" si="261"/>
        <v>11.333333333333332</v>
      </c>
      <c r="V143" s="98">
        <f t="shared" si="261"/>
        <v>32</v>
      </c>
      <c r="W143" s="98">
        <f t="shared" si="261"/>
        <v>17.333333333333336</v>
      </c>
      <c r="X143" s="110">
        <f t="shared" si="261"/>
        <v>14.666666666666666</v>
      </c>
      <c r="Y143" s="111">
        <f t="shared" si="261"/>
        <v>10.666666666666668</v>
      </c>
      <c r="Z143" s="159">
        <f t="shared" si="261"/>
        <v>10</v>
      </c>
      <c r="AA143" s="98">
        <f t="shared" si="261"/>
        <v>8</v>
      </c>
      <c r="AB143" s="98">
        <f t="shared" si="261"/>
        <v>2</v>
      </c>
      <c r="AC143" s="98">
        <f t="shared" si="261"/>
        <v>3.3333333333333335</v>
      </c>
      <c r="AD143" s="110">
        <f t="shared" si="261"/>
        <v>6.666666666666667</v>
      </c>
      <c r="AE143" s="99">
        <f t="shared" si="261"/>
        <v>3.3333333333333335</v>
      </c>
    </row>
    <row r="144" spans="1:31" ht="13.5" customHeight="1" x14ac:dyDescent="0.2">
      <c r="A144" s="270"/>
      <c r="B144" s="114">
        <f t="shared" ref="B144:B148" si="262">B123</f>
        <v>10.581683168316831</v>
      </c>
      <c r="C144" s="125">
        <f t="shared" ref="C144:D148" si="263">C123</f>
        <v>64.327485380116954</v>
      </c>
      <c r="D144" s="126">
        <f t="shared" si="263"/>
        <v>52.631578947368418</v>
      </c>
      <c r="E144" s="126">
        <f t="shared" si="260"/>
        <v>38.011695906432749</v>
      </c>
      <c r="F144" s="126">
        <f t="shared" si="260"/>
        <v>19.298245614035086</v>
      </c>
      <c r="G144" s="126">
        <f t="shared" si="260"/>
        <v>23.976608187134502</v>
      </c>
      <c r="H144" s="126">
        <f t="shared" si="260"/>
        <v>8.7719298245614024</v>
      </c>
      <c r="I144" s="126">
        <f t="shared" si="260"/>
        <v>4.6783625730994149</v>
      </c>
      <c r="J144" s="126">
        <f t="shared" si="260"/>
        <v>7.6023391812865491</v>
      </c>
      <c r="K144" s="126">
        <f t="shared" si="260"/>
        <v>4.0935672514619883</v>
      </c>
      <c r="L144" s="126">
        <f t="shared" si="260"/>
        <v>8.1871345029239766</v>
      </c>
      <c r="M144" s="126">
        <f t="shared" si="260"/>
        <v>1.1695906432748537</v>
      </c>
      <c r="N144" s="126">
        <f t="shared" si="260"/>
        <v>3.5087719298245612</v>
      </c>
      <c r="O144" s="127">
        <f t="shared" si="260"/>
        <v>4.6783625730994149</v>
      </c>
      <c r="P144" s="128"/>
      <c r="Q144" s="104"/>
      <c r="R144" s="95" t="str">
        <f>A151</f>
        <v>無職(n = 263 )　　</v>
      </c>
      <c r="S144" s="88">
        <f>C152</f>
        <v>54.752851711026615</v>
      </c>
      <c r="T144" s="89">
        <f t="shared" ref="T144:AE144" si="264">D152</f>
        <v>84.410646387832699</v>
      </c>
      <c r="U144" s="89">
        <f t="shared" si="264"/>
        <v>4.9429657794676807</v>
      </c>
      <c r="V144" s="89">
        <f t="shared" si="264"/>
        <v>35.741444866920155</v>
      </c>
      <c r="W144" s="89">
        <f t="shared" si="264"/>
        <v>1.9011406844106464</v>
      </c>
      <c r="X144" s="90">
        <f t="shared" si="264"/>
        <v>16.730038022813687</v>
      </c>
      <c r="Y144" s="109">
        <f t="shared" si="264"/>
        <v>9.5057034220532319</v>
      </c>
      <c r="Z144" s="158">
        <f t="shared" si="264"/>
        <v>5.7034220532319395</v>
      </c>
      <c r="AA144" s="89">
        <f t="shared" si="264"/>
        <v>6.4638783269961975</v>
      </c>
      <c r="AB144" s="89">
        <f t="shared" si="264"/>
        <v>1.520912547528517</v>
      </c>
      <c r="AC144" s="89">
        <f t="shared" si="264"/>
        <v>3.4220532319391634</v>
      </c>
      <c r="AD144" s="90">
        <f t="shared" si="264"/>
        <v>6.083650190114068</v>
      </c>
      <c r="AE144" s="91">
        <f t="shared" si="264"/>
        <v>2.6615969581749046</v>
      </c>
    </row>
    <row r="145" spans="1:31" ht="13.5" customHeight="1" x14ac:dyDescent="0.2">
      <c r="A145" s="271" t="str">
        <f>'問2S（表）'!J73</f>
        <v>正規の従業員・職員(n = 423 )　　</v>
      </c>
      <c r="B145" s="113">
        <f t="shared" si="262"/>
        <v>423</v>
      </c>
      <c r="C145" s="129">
        <f t="shared" si="263"/>
        <v>301</v>
      </c>
      <c r="D145" s="130">
        <f t="shared" si="263"/>
        <v>248</v>
      </c>
      <c r="E145" s="130">
        <f t="shared" si="260"/>
        <v>159</v>
      </c>
      <c r="F145" s="130">
        <f t="shared" si="260"/>
        <v>88</v>
      </c>
      <c r="G145" s="130">
        <f t="shared" si="260"/>
        <v>101</v>
      </c>
      <c r="H145" s="130">
        <f t="shared" si="260"/>
        <v>48</v>
      </c>
      <c r="I145" s="130">
        <f t="shared" si="260"/>
        <v>37</v>
      </c>
      <c r="J145" s="130">
        <f t="shared" si="260"/>
        <v>33</v>
      </c>
      <c r="K145" s="130">
        <f t="shared" si="260"/>
        <v>29</v>
      </c>
      <c r="L145" s="130">
        <f t="shared" si="260"/>
        <v>26</v>
      </c>
      <c r="M145" s="130">
        <f t="shared" si="260"/>
        <v>4</v>
      </c>
      <c r="N145" s="130">
        <f t="shared" si="260"/>
        <v>20</v>
      </c>
      <c r="O145" s="140">
        <f t="shared" si="260"/>
        <v>11</v>
      </c>
      <c r="P145" s="131"/>
      <c r="Q145" s="104">
        <f>SUM($C145:P145)</f>
        <v>1105</v>
      </c>
      <c r="R145" s="94" t="str">
        <f>A153</f>
        <v>その他(n = 74 )　　</v>
      </c>
      <c r="S145" s="78">
        <f>C154</f>
        <v>64.900000000000006</v>
      </c>
      <c r="T145" s="79">
        <f t="shared" ref="T145:AE145" si="265">D154</f>
        <v>39.200000000000003</v>
      </c>
      <c r="U145" s="79">
        <f t="shared" si="265"/>
        <v>27</v>
      </c>
      <c r="V145" s="79">
        <f t="shared" si="265"/>
        <v>16.2</v>
      </c>
      <c r="W145" s="79">
        <f t="shared" si="265"/>
        <v>5.4</v>
      </c>
      <c r="X145" s="80">
        <f t="shared" si="265"/>
        <v>8.1</v>
      </c>
      <c r="Y145" s="107">
        <f t="shared" si="265"/>
        <v>5.4</v>
      </c>
      <c r="Z145" s="160">
        <f t="shared" si="265"/>
        <v>5.4</v>
      </c>
      <c r="AA145" s="79">
        <f t="shared" si="265"/>
        <v>1.4</v>
      </c>
      <c r="AB145" s="79">
        <f t="shared" si="265"/>
        <v>6.8</v>
      </c>
      <c r="AC145" s="79">
        <f t="shared" si="265"/>
        <v>23</v>
      </c>
      <c r="AD145" s="80">
        <f t="shared" si="265"/>
        <v>6.8</v>
      </c>
      <c r="AE145" s="81">
        <f t="shared" si="265"/>
        <v>16.2</v>
      </c>
    </row>
    <row r="146" spans="1:31" ht="13.5" customHeight="1" x14ac:dyDescent="0.2">
      <c r="A146" s="272"/>
      <c r="B146" s="114">
        <f t="shared" si="262"/>
        <v>26.175742574257427</v>
      </c>
      <c r="C146" s="125">
        <f t="shared" si="263"/>
        <v>71.158392434988187</v>
      </c>
      <c r="D146" s="126">
        <f t="shared" si="263"/>
        <v>58.628841607565008</v>
      </c>
      <c r="E146" s="126">
        <f t="shared" si="260"/>
        <v>37.588652482269502</v>
      </c>
      <c r="F146" s="126">
        <f t="shared" si="260"/>
        <v>20.803782505910164</v>
      </c>
      <c r="G146" s="126">
        <f t="shared" si="260"/>
        <v>23.877068557919621</v>
      </c>
      <c r="H146" s="126">
        <f t="shared" si="260"/>
        <v>11.347517730496454</v>
      </c>
      <c r="I146" s="126">
        <f t="shared" si="260"/>
        <v>8.7470449172576838</v>
      </c>
      <c r="J146" s="126">
        <f t="shared" si="260"/>
        <v>7.8014184397163122</v>
      </c>
      <c r="K146" s="126">
        <f t="shared" si="260"/>
        <v>6.8557919621749415</v>
      </c>
      <c r="L146" s="126">
        <f t="shared" si="260"/>
        <v>6.1465721040189125</v>
      </c>
      <c r="M146" s="126">
        <f t="shared" si="260"/>
        <v>0.94562647754137119</v>
      </c>
      <c r="N146" s="126">
        <f t="shared" si="260"/>
        <v>4.7281323877068555</v>
      </c>
      <c r="O146" s="127">
        <f t="shared" si="260"/>
        <v>2.6004728132387704</v>
      </c>
      <c r="P146" s="128"/>
      <c r="Q146" s="104"/>
    </row>
    <row r="147" spans="1:31" ht="13.5" customHeight="1" x14ac:dyDescent="0.2">
      <c r="A147" s="265" t="str">
        <f>'問2S（表）'!J75</f>
        <v>パートタイム・アルバイト・派遣(n = 346 )　　</v>
      </c>
      <c r="B147" s="113">
        <f t="shared" si="262"/>
        <v>346</v>
      </c>
      <c r="C147" s="129">
        <f t="shared" si="263"/>
        <v>249</v>
      </c>
      <c r="D147" s="130">
        <f t="shared" si="263"/>
        <v>225</v>
      </c>
      <c r="E147" s="130">
        <f t="shared" si="260"/>
        <v>110</v>
      </c>
      <c r="F147" s="130">
        <f t="shared" si="260"/>
        <v>79</v>
      </c>
      <c r="G147" s="130">
        <f t="shared" si="260"/>
        <v>71</v>
      </c>
      <c r="H147" s="130">
        <f t="shared" si="260"/>
        <v>39</v>
      </c>
      <c r="I147" s="130">
        <f t="shared" si="260"/>
        <v>32</v>
      </c>
      <c r="J147" s="130">
        <f t="shared" si="260"/>
        <v>24</v>
      </c>
      <c r="K147" s="130">
        <f t="shared" si="260"/>
        <v>28</v>
      </c>
      <c r="L147" s="130">
        <f t="shared" si="260"/>
        <v>10</v>
      </c>
      <c r="M147" s="130">
        <f t="shared" si="260"/>
        <v>4</v>
      </c>
      <c r="N147" s="130">
        <f t="shared" si="260"/>
        <v>17</v>
      </c>
      <c r="O147" s="140">
        <f t="shared" si="260"/>
        <v>11</v>
      </c>
      <c r="P147" s="131"/>
      <c r="Q147" s="104">
        <f>SUM($C147:P147)</f>
        <v>899</v>
      </c>
    </row>
    <row r="148" spans="1:31" ht="13.5" customHeight="1" x14ac:dyDescent="0.2">
      <c r="A148" s="266"/>
      <c r="B148" s="114">
        <f t="shared" si="262"/>
        <v>21.410891089108912</v>
      </c>
      <c r="C148" s="125">
        <f t="shared" si="263"/>
        <v>71.965317919075147</v>
      </c>
      <c r="D148" s="126">
        <f t="shared" si="263"/>
        <v>65.028901734104053</v>
      </c>
      <c r="E148" s="126">
        <f t="shared" si="260"/>
        <v>31.79190751445087</v>
      </c>
      <c r="F148" s="126">
        <f t="shared" si="260"/>
        <v>22.832369942196532</v>
      </c>
      <c r="G148" s="126">
        <f t="shared" si="260"/>
        <v>20.520231213872833</v>
      </c>
      <c r="H148" s="126">
        <f t="shared" si="260"/>
        <v>11.271676300578035</v>
      </c>
      <c r="I148" s="126">
        <f t="shared" si="260"/>
        <v>9.2485549132947966</v>
      </c>
      <c r="J148" s="126">
        <f t="shared" si="260"/>
        <v>6.9364161849710975</v>
      </c>
      <c r="K148" s="126">
        <f t="shared" si="260"/>
        <v>8.0924855491329488</v>
      </c>
      <c r="L148" s="126">
        <f t="shared" si="260"/>
        <v>2.8901734104046244</v>
      </c>
      <c r="M148" s="126">
        <f t="shared" si="260"/>
        <v>1.1560693641618496</v>
      </c>
      <c r="N148" s="126">
        <f t="shared" si="260"/>
        <v>4.9132947976878611</v>
      </c>
      <c r="O148" s="127">
        <f t="shared" si="260"/>
        <v>3.1791907514450863</v>
      </c>
      <c r="P148" s="128"/>
      <c r="Q148" s="104"/>
    </row>
    <row r="149" spans="1:31" ht="13.5" customHeight="1" x14ac:dyDescent="0.2">
      <c r="A149" s="269" t="str">
        <f>'問2S（表）'!J77</f>
        <v>家事従事(n = 150 )　　</v>
      </c>
      <c r="B149" s="113">
        <f>B130</f>
        <v>150</v>
      </c>
      <c r="C149" s="129">
        <f>C130</f>
        <v>81</v>
      </c>
      <c r="D149" s="130">
        <f t="shared" ref="D149:O152" si="266">D130</f>
        <v>108</v>
      </c>
      <c r="E149" s="130">
        <f t="shared" si="266"/>
        <v>17</v>
      </c>
      <c r="F149" s="130">
        <f t="shared" si="266"/>
        <v>48</v>
      </c>
      <c r="G149" s="130">
        <f t="shared" si="266"/>
        <v>26</v>
      </c>
      <c r="H149" s="130">
        <f t="shared" si="266"/>
        <v>22</v>
      </c>
      <c r="I149" s="130">
        <f t="shared" si="266"/>
        <v>16</v>
      </c>
      <c r="J149" s="130">
        <f t="shared" si="266"/>
        <v>15</v>
      </c>
      <c r="K149" s="130">
        <f t="shared" si="266"/>
        <v>12</v>
      </c>
      <c r="L149" s="130">
        <f t="shared" si="266"/>
        <v>3</v>
      </c>
      <c r="M149" s="130">
        <f t="shared" si="266"/>
        <v>5</v>
      </c>
      <c r="N149" s="130">
        <f t="shared" si="266"/>
        <v>10</v>
      </c>
      <c r="O149" s="140">
        <f t="shared" si="266"/>
        <v>5</v>
      </c>
      <c r="P149" s="131"/>
      <c r="Q149" s="104">
        <f>SUM($C149:P149)</f>
        <v>368</v>
      </c>
    </row>
    <row r="150" spans="1:31" x14ac:dyDescent="0.2">
      <c r="A150" s="270"/>
      <c r="B150" s="114">
        <f t="shared" ref="B150:B152" si="267">B131</f>
        <v>9.282178217821782</v>
      </c>
      <c r="C150" s="125">
        <f t="shared" ref="C150:D152" si="268">C131</f>
        <v>54</v>
      </c>
      <c r="D150" s="126">
        <f t="shared" si="268"/>
        <v>72</v>
      </c>
      <c r="E150" s="126">
        <f t="shared" si="266"/>
        <v>11.333333333333332</v>
      </c>
      <c r="F150" s="126">
        <f t="shared" si="266"/>
        <v>32</v>
      </c>
      <c r="G150" s="126">
        <f t="shared" si="266"/>
        <v>17.333333333333336</v>
      </c>
      <c r="H150" s="126">
        <f t="shared" si="266"/>
        <v>14.666666666666666</v>
      </c>
      <c r="I150" s="126">
        <f t="shared" si="266"/>
        <v>10.666666666666668</v>
      </c>
      <c r="J150" s="126">
        <f t="shared" si="266"/>
        <v>10</v>
      </c>
      <c r="K150" s="126">
        <f t="shared" si="266"/>
        <v>8</v>
      </c>
      <c r="L150" s="126">
        <f t="shared" si="266"/>
        <v>2</v>
      </c>
      <c r="M150" s="126">
        <f t="shared" si="266"/>
        <v>3.3333333333333335</v>
      </c>
      <c r="N150" s="126">
        <f t="shared" si="266"/>
        <v>6.666666666666667</v>
      </c>
      <c r="O150" s="127">
        <f t="shared" si="266"/>
        <v>3.3333333333333335</v>
      </c>
      <c r="P150" s="128"/>
      <c r="Q150" s="104"/>
    </row>
    <row r="151" spans="1:31" ht="13.5" customHeight="1" x14ac:dyDescent="0.2">
      <c r="A151" s="269" t="str">
        <f>'問2S（表）'!J79</f>
        <v>無職(n = 263 )　　</v>
      </c>
      <c r="B151" s="113">
        <f t="shared" si="267"/>
        <v>263</v>
      </c>
      <c r="C151" s="129">
        <f t="shared" si="268"/>
        <v>144</v>
      </c>
      <c r="D151" s="130">
        <f t="shared" si="268"/>
        <v>222</v>
      </c>
      <c r="E151" s="130">
        <f t="shared" si="266"/>
        <v>13</v>
      </c>
      <c r="F151" s="130">
        <f t="shared" si="266"/>
        <v>94</v>
      </c>
      <c r="G151" s="130">
        <f t="shared" si="266"/>
        <v>5</v>
      </c>
      <c r="H151" s="130">
        <f t="shared" si="266"/>
        <v>44</v>
      </c>
      <c r="I151" s="130">
        <f t="shared" si="266"/>
        <v>25</v>
      </c>
      <c r="J151" s="130">
        <f t="shared" si="266"/>
        <v>15</v>
      </c>
      <c r="K151" s="130">
        <f t="shared" si="266"/>
        <v>17</v>
      </c>
      <c r="L151" s="130">
        <f t="shared" si="266"/>
        <v>4</v>
      </c>
      <c r="M151" s="130">
        <f t="shared" si="266"/>
        <v>9</v>
      </c>
      <c r="N151" s="130">
        <f t="shared" si="266"/>
        <v>16</v>
      </c>
      <c r="O151" s="140">
        <f t="shared" si="266"/>
        <v>7</v>
      </c>
      <c r="P151" s="131"/>
      <c r="Q151" s="104">
        <f>SUM($C151:P151)</f>
        <v>615</v>
      </c>
    </row>
    <row r="152" spans="1:31" x14ac:dyDescent="0.2">
      <c r="A152" s="270"/>
      <c r="B152" s="114">
        <f t="shared" si="267"/>
        <v>16.274752475247524</v>
      </c>
      <c r="C152" s="125">
        <f t="shared" si="268"/>
        <v>54.752851711026615</v>
      </c>
      <c r="D152" s="126">
        <f t="shared" si="268"/>
        <v>84.410646387832699</v>
      </c>
      <c r="E152" s="126">
        <f t="shared" si="266"/>
        <v>4.9429657794676807</v>
      </c>
      <c r="F152" s="126">
        <f t="shared" si="266"/>
        <v>35.741444866920155</v>
      </c>
      <c r="G152" s="126">
        <f t="shared" si="266"/>
        <v>1.9011406844106464</v>
      </c>
      <c r="H152" s="126">
        <f t="shared" si="266"/>
        <v>16.730038022813687</v>
      </c>
      <c r="I152" s="126">
        <f t="shared" si="266"/>
        <v>9.5057034220532319</v>
      </c>
      <c r="J152" s="126">
        <f t="shared" si="266"/>
        <v>5.7034220532319395</v>
      </c>
      <c r="K152" s="126">
        <f t="shared" si="266"/>
        <v>6.4638783269961975</v>
      </c>
      <c r="L152" s="126">
        <f t="shared" si="266"/>
        <v>1.520912547528517</v>
      </c>
      <c r="M152" s="126">
        <f t="shared" si="266"/>
        <v>3.4220532319391634</v>
      </c>
      <c r="N152" s="126">
        <f t="shared" si="266"/>
        <v>6.083650190114068</v>
      </c>
      <c r="O152" s="127">
        <f t="shared" si="266"/>
        <v>2.6615969581749046</v>
      </c>
      <c r="P152" s="128"/>
      <c r="Q152" s="195"/>
    </row>
    <row r="153" spans="1:31" ht="13.5" customHeight="1" x14ac:dyDescent="0.2">
      <c r="A153" s="269" t="str">
        <f>'問2S（表）'!J81</f>
        <v>その他(n = 74 )　　</v>
      </c>
      <c r="B153" s="113">
        <f>B120+B128+B134</f>
        <v>74</v>
      </c>
      <c r="C153" s="129">
        <f>C120+C128+C134</f>
        <v>48</v>
      </c>
      <c r="D153" s="130">
        <f t="shared" ref="D153:E153" si="269">D120+D128+D134</f>
        <v>29</v>
      </c>
      <c r="E153" s="130">
        <f t="shared" si="269"/>
        <v>20</v>
      </c>
      <c r="F153" s="130">
        <f t="shared" ref="F153:O153" si="270">F120+F128+F134</f>
        <v>12</v>
      </c>
      <c r="G153" s="130">
        <f t="shared" si="270"/>
        <v>4</v>
      </c>
      <c r="H153" s="130">
        <f t="shared" si="270"/>
        <v>6</v>
      </c>
      <c r="I153" s="130">
        <f t="shared" si="270"/>
        <v>4</v>
      </c>
      <c r="J153" s="130">
        <f t="shared" si="270"/>
        <v>4</v>
      </c>
      <c r="K153" s="130">
        <f t="shared" si="270"/>
        <v>1</v>
      </c>
      <c r="L153" s="130">
        <f t="shared" si="270"/>
        <v>5</v>
      </c>
      <c r="M153" s="130">
        <f t="shared" si="270"/>
        <v>17</v>
      </c>
      <c r="N153" s="130">
        <f t="shared" si="270"/>
        <v>5</v>
      </c>
      <c r="O153" s="140">
        <f t="shared" si="270"/>
        <v>12</v>
      </c>
      <c r="P153" s="131"/>
      <c r="Q153" s="104">
        <f>SUM($C153:P153)</f>
        <v>167</v>
      </c>
    </row>
    <row r="154" spans="1:31" x14ac:dyDescent="0.2">
      <c r="A154" s="270"/>
      <c r="B154" s="114">
        <f>B153/$B$139*100</f>
        <v>4.5792079207920793</v>
      </c>
      <c r="C154" s="125">
        <f t="shared" ref="C154:O154" si="271">ROUND(C153/$B153*100,1)</f>
        <v>64.900000000000006</v>
      </c>
      <c r="D154" s="126">
        <f t="shared" si="271"/>
        <v>39.200000000000003</v>
      </c>
      <c r="E154" s="126">
        <f t="shared" si="271"/>
        <v>27</v>
      </c>
      <c r="F154" s="126">
        <f t="shared" si="271"/>
        <v>16.2</v>
      </c>
      <c r="G154" s="126">
        <f t="shared" si="271"/>
        <v>5.4</v>
      </c>
      <c r="H154" s="126">
        <f t="shared" si="271"/>
        <v>8.1</v>
      </c>
      <c r="I154" s="126">
        <f t="shared" si="271"/>
        <v>5.4</v>
      </c>
      <c r="J154" s="126">
        <f t="shared" si="271"/>
        <v>5.4</v>
      </c>
      <c r="K154" s="126">
        <f t="shared" si="271"/>
        <v>1.4</v>
      </c>
      <c r="L154" s="126">
        <f t="shared" si="271"/>
        <v>6.8</v>
      </c>
      <c r="M154" s="126">
        <f t="shared" si="271"/>
        <v>23</v>
      </c>
      <c r="N154" s="126">
        <f t="shared" si="271"/>
        <v>6.8</v>
      </c>
      <c r="O154" s="127">
        <f t="shared" si="271"/>
        <v>16.2</v>
      </c>
      <c r="P154" s="128"/>
      <c r="Q154" s="195"/>
    </row>
    <row r="155" spans="1:31" x14ac:dyDescent="0.2">
      <c r="Q155" s="104"/>
    </row>
    <row r="156" spans="1:31" x14ac:dyDescent="0.2">
      <c r="A156" s="3" t="s">
        <v>62</v>
      </c>
      <c r="B156" s="1" t="str">
        <f>B90</f>
        <v>生活面での不安</v>
      </c>
      <c r="C156" s="8"/>
      <c r="D156" s="9" t="s">
        <v>198</v>
      </c>
      <c r="E156" s="8"/>
      <c r="F156" s="8"/>
      <c r="G156" s="8"/>
      <c r="H156" s="9" t="s">
        <v>198</v>
      </c>
      <c r="I156" s="8"/>
      <c r="J156" s="8"/>
      <c r="K156" s="8"/>
      <c r="L156" s="8"/>
      <c r="M156" s="8"/>
      <c r="N156" s="8"/>
      <c r="O156" s="8"/>
      <c r="P156" s="8"/>
    </row>
    <row r="157" spans="1:31" ht="90" customHeight="1" x14ac:dyDescent="0.2">
      <c r="A157" s="13" t="s">
        <v>63</v>
      </c>
      <c r="B157" s="37" t="str">
        <f>B91</f>
        <v>調査数</v>
      </c>
      <c r="C157" s="38" t="str">
        <f t="shared" ref="C157:O157" si="272">C91</f>
        <v>健康・体力</v>
      </c>
      <c r="D157" s="39" t="str">
        <f t="shared" si="272"/>
        <v>収入・貯蓄</v>
      </c>
      <c r="E157" s="39" t="str">
        <f t="shared" si="272"/>
        <v>仕事</v>
      </c>
      <c r="F157" s="39" t="str">
        <f t="shared" si="272"/>
        <v>就職</v>
      </c>
      <c r="G157" s="39" t="str">
        <f t="shared" si="272"/>
        <v>結婚</v>
      </c>
      <c r="H157" s="39" t="str">
        <f t="shared" si="272"/>
        <v>子育て・子どもの教育</v>
      </c>
      <c r="I157" s="39" t="str">
        <f t="shared" si="272"/>
        <v>介護</v>
      </c>
      <c r="J157" s="39" t="str">
        <f t="shared" si="272"/>
        <v>家庭での人間関係</v>
      </c>
      <c r="K157" s="39" t="str">
        <f t="shared" si="272"/>
        <v>地域での人間関係</v>
      </c>
      <c r="L157" s="39" t="str">
        <f t="shared" si="272"/>
        <v>住宅</v>
      </c>
      <c r="M157" s="39" t="str">
        <f>M91</f>
        <v>地域の住環境（上下水道、公園、
        道路、公共交通機関など）</v>
      </c>
      <c r="N157" s="40" t="str">
        <f t="shared" si="272"/>
        <v>その他</v>
      </c>
      <c r="O157" s="40" t="str">
        <f t="shared" si="272"/>
        <v>特にない</v>
      </c>
      <c r="P157" s="41"/>
      <c r="Q157" s="104" t="s">
        <v>243</v>
      </c>
      <c r="R157" t="s">
        <v>244</v>
      </c>
    </row>
    <row r="158" spans="1:31" x14ac:dyDescent="0.2">
      <c r="A158" s="291" t="str">
        <f>'問2S（表）'!J67</f>
        <v>全体(n = 1,616 )　　</v>
      </c>
      <c r="B158" s="34">
        <v>1616</v>
      </c>
      <c r="C158" s="31">
        <f t="shared" ref="C158:O158" si="273">SUM(C160,C162,C164,C166,C168)</f>
        <v>1038</v>
      </c>
      <c r="D158" s="32">
        <f t="shared" si="273"/>
        <v>1045</v>
      </c>
      <c r="E158" s="32">
        <f t="shared" si="273"/>
        <v>455</v>
      </c>
      <c r="F158" s="32">
        <f t="shared" si="273"/>
        <v>42</v>
      </c>
      <c r="G158" s="32">
        <f t="shared" si="273"/>
        <v>68</v>
      </c>
      <c r="H158" s="32">
        <f t="shared" si="273"/>
        <v>263</v>
      </c>
      <c r="I158" s="32">
        <f t="shared" si="273"/>
        <v>401</v>
      </c>
      <c r="J158" s="32">
        <f t="shared" si="273"/>
        <v>111</v>
      </c>
      <c r="K158" s="32">
        <f t="shared" si="273"/>
        <v>111</v>
      </c>
      <c r="L158" s="32">
        <f t="shared" si="273"/>
        <v>140</v>
      </c>
      <c r="M158" s="32">
        <f t="shared" si="273"/>
        <v>191</v>
      </c>
      <c r="N158" s="32">
        <f t="shared" si="273"/>
        <v>75</v>
      </c>
      <c r="O158" s="32">
        <f t="shared" si="273"/>
        <v>64</v>
      </c>
      <c r="P158" s="33"/>
      <c r="Q158" s="166">
        <f>SUM(Q160,Q162,Q164,Q166,Q168)</f>
        <v>4004</v>
      </c>
      <c r="R158" s="166">
        <f>B158</f>
        <v>1616</v>
      </c>
    </row>
    <row r="159" spans="1:31" x14ac:dyDescent="0.2">
      <c r="A159" s="292"/>
      <c r="B159" s="35">
        <v>100</v>
      </c>
      <c r="C159" s="20">
        <f t="shared" ref="C159" si="274">C158/$B158*100</f>
        <v>64.232673267326732</v>
      </c>
      <c r="D159" s="207">
        <f t="shared" ref="D159" si="275">D158/$B158*100</f>
        <v>64.665841584158414</v>
      </c>
      <c r="E159" s="207">
        <f t="shared" ref="E159" si="276">E158/$B158*100</f>
        <v>28.155940594059402</v>
      </c>
      <c r="F159" s="207">
        <f t="shared" ref="F159" si="277">F158/$B158*100</f>
        <v>2.5990099009900991</v>
      </c>
      <c r="G159" s="207">
        <f t="shared" ref="G159" si="278">G158/$B158*100</f>
        <v>4.2079207920792081</v>
      </c>
      <c r="H159" s="207">
        <f t="shared" ref="H159" si="279">H158/$B158*100</f>
        <v>16.274752475247524</v>
      </c>
      <c r="I159" s="207">
        <f t="shared" ref="I159" si="280">I158/$B158*100</f>
        <v>24.814356435643564</v>
      </c>
      <c r="J159" s="207">
        <f t="shared" ref="J159" si="281">J158/$B158*100</f>
        <v>6.8688118811881189</v>
      </c>
      <c r="K159" s="207">
        <f t="shared" ref="K159" si="282">K158/$B158*100</f>
        <v>6.8688118811881189</v>
      </c>
      <c r="L159" s="207">
        <f t="shared" ref="L159" si="283">L158/$B158*100</f>
        <v>8.6633663366336631</v>
      </c>
      <c r="M159" s="207">
        <f t="shared" ref="M159" si="284">M158/$B158*100</f>
        <v>11.819306930693068</v>
      </c>
      <c r="N159" s="207">
        <f t="shared" ref="N159" si="285">N158/$B158*100</f>
        <v>4.641089108910891</v>
      </c>
      <c r="O159" s="207">
        <f t="shared" ref="O159" si="286">O158/$B158*100</f>
        <v>3.9603960396039604</v>
      </c>
      <c r="P159" s="208"/>
      <c r="Q159" s="104"/>
    </row>
    <row r="160" spans="1:31" x14ac:dyDescent="0.2">
      <c r="A160" s="259" t="str">
        <f>"十分満足している(n = "&amp;B160&amp;" )"</f>
        <v>十分満足している(n = 59 )</v>
      </c>
      <c r="B160" s="34">
        <v>59</v>
      </c>
      <c r="C160" s="31">
        <v>29</v>
      </c>
      <c r="D160" s="32">
        <v>15</v>
      </c>
      <c r="E160" s="32">
        <v>11</v>
      </c>
      <c r="F160" s="32">
        <v>4</v>
      </c>
      <c r="G160" s="32">
        <v>2</v>
      </c>
      <c r="H160" s="32">
        <v>6</v>
      </c>
      <c r="I160" s="32">
        <v>11</v>
      </c>
      <c r="J160" s="32">
        <v>2</v>
      </c>
      <c r="K160" s="32">
        <v>0</v>
      </c>
      <c r="L160" s="32">
        <v>2</v>
      </c>
      <c r="M160" s="32">
        <v>3</v>
      </c>
      <c r="N160" s="32">
        <v>2</v>
      </c>
      <c r="O160" s="32">
        <v>21</v>
      </c>
      <c r="P160" s="33"/>
      <c r="Q160" s="104">
        <f t="shared" ref="Q160:Q168" si="287">SUM(C160:P160)</f>
        <v>108</v>
      </c>
      <c r="R160" s="166">
        <f>B160</f>
        <v>59</v>
      </c>
      <c r="S160" s="166"/>
    </row>
    <row r="161" spans="1:19" x14ac:dyDescent="0.2">
      <c r="A161" s="260"/>
      <c r="B161" s="20">
        <f>B160/$B$158*100</f>
        <v>3.6509900990099009</v>
      </c>
      <c r="C161" s="20">
        <f t="shared" ref="C161" si="288">C160/$B160*100</f>
        <v>49.152542372881356</v>
      </c>
      <c r="D161" s="207">
        <f t="shared" ref="D161" si="289">D160/$B160*100</f>
        <v>25.423728813559322</v>
      </c>
      <c r="E161" s="207">
        <f t="shared" ref="E161" si="290">E160/$B160*100</f>
        <v>18.64406779661017</v>
      </c>
      <c r="F161" s="207">
        <f t="shared" ref="F161" si="291">F160/$B160*100</f>
        <v>6.7796610169491522</v>
      </c>
      <c r="G161" s="207">
        <f t="shared" ref="G161" si="292">G160/$B160*100</f>
        <v>3.3898305084745761</v>
      </c>
      <c r="H161" s="207">
        <f t="shared" ref="H161" si="293">H160/$B160*100</f>
        <v>10.16949152542373</v>
      </c>
      <c r="I161" s="207">
        <f t="shared" ref="I161" si="294">I160/$B160*100</f>
        <v>18.64406779661017</v>
      </c>
      <c r="J161" s="207">
        <f t="shared" ref="J161" si="295">J160/$B160*100</f>
        <v>3.3898305084745761</v>
      </c>
      <c r="K161" s="207">
        <f t="shared" ref="K161" si="296">K160/$B160*100</f>
        <v>0</v>
      </c>
      <c r="L161" s="207">
        <f t="shared" ref="L161" si="297">L160/$B160*100</f>
        <v>3.3898305084745761</v>
      </c>
      <c r="M161" s="207">
        <f t="shared" ref="M161" si="298">M160/$B160*100</f>
        <v>5.0847457627118651</v>
      </c>
      <c r="N161" s="207">
        <f t="shared" ref="N161" si="299">N160/$B160*100</f>
        <v>3.3898305084745761</v>
      </c>
      <c r="O161" s="207">
        <f t="shared" ref="O161" si="300">O160/$B160*100</f>
        <v>35.593220338983052</v>
      </c>
      <c r="P161" s="208"/>
      <c r="Q161" s="104"/>
      <c r="S161">
        <f>SUM(R160,R162)</f>
        <v>793</v>
      </c>
    </row>
    <row r="162" spans="1:19" ht="13.5" customHeight="1" x14ac:dyDescent="0.2">
      <c r="A162" s="259" t="str">
        <f>"おおむね満足している(n = "&amp;B162&amp;" )"</f>
        <v>おおむね満足している(n = 734 )</v>
      </c>
      <c r="B162" s="34">
        <v>734</v>
      </c>
      <c r="C162" s="31">
        <v>500</v>
      </c>
      <c r="D162" s="32">
        <v>387</v>
      </c>
      <c r="E162" s="32">
        <v>171</v>
      </c>
      <c r="F162" s="32">
        <v>17</v>
      </c>
      <c r="G162" s="32">
        <v>29</v>
      </c>
      <c r="H162" s="32">
        <v>126</v>
      </c>
      <c r="I162" s="32">
        <v>192</v>
      </c>
      <c r="J162" s="32">
        <v>46</v>
      </c>
      <c r="K162" s="32">
        <v>48</v>
      </c>
      <c r="L162" s="32">
        <v>60</v>
      </c>
      <c r="M162" s="32">
        <v>84</v>
      </c>
      <c r="N162" s="32">
        <v>36</v>
      </c>
      <c r="O162" s="32">
        <v>35</v>
      </c>
      <c r="P162" s="33"/>
      <c r="Q162" s="104">
        <f t="shared" si="287"/>
        <v>1731</v>
      </c>
      <c r="R162" s="166">
        <f>B162</f>
        <v>734</v>
      </c>
      <c r="S162" t="str">
        <f>" 満足層（N = "&amp;Q190&amp;" : n = "&amp;S161&amp;"）"</f>
        <v xml:space="preserve"> 満足層（N = 1,839 : n = 793）</v>
      </c>
    </row>
    <row r="163" spans="1:19" x14ac:dyDescent="0.2">
      <c r="A163" s="260"/>
      <c r="B163" s="20">
        <f>B162/$B$158*100</f>
        <v>45.420792079207921</v>
      </c>
      <c r="C163" s="20">
        <f t="shared" ref="C163" si="301">C162/$B162*100</f>
        <v>68.119891008174378</v>
      </c>
      <c r="D163" s="207">
        <f t="shared" ref="D163" si="302">D162/$B162*100</f>
        <v>52.724795640326974</v>
      </c>
      <c r="E163" s="207">
        <f t="shared" ref="E163" si="303">E162/$B162*100</f>
        <v>23.297002724795639</v>
      </c>
      <c r="F163" s="207">
        <f t="shared" ref="F163" si="304">F162/$B162*100</f>
        <v>2.3160762942779289</v>
      </c>
      <c r="G163" s="207">
        <f t="shared" ref="G163" si="305">G162/$B162*100</f>
        <v>3.9509536784741144</v>
      </c>
      <c r="H163" s="207">
        <f t="shared" ref="H163" si="306">H162/$B162*100</f>
        <v>17.166212534059948</v>
      </c>
      <c r="I163" s="207">
        <f t="shared" ref="I163" si="307">I162/$B162*100</f>
        <v>26.158038147138964</v>
      </c>
      <c r="J163" s="207">
        <f t="shared" ref="J163" si="308">J162/$B162*100</f>
        <v>6.2670299727520433</v>
      </c>
      <c r="K163" s="207">
        <f t="shared" ref="K163" si="309">K162/$B162*100</f>
        <v>6.5395095367847409</v>
      </c>
      <c r="L163" s="207">
        <f t="shared" ref="L163" si="310">L162/$B162*100</f>
        <v>8.1743869209809272</v>
      </c>
      <c r="M163" s="207">
        <f t="shared" ref="M163" si="311">M162/$B162*100</f>
        <v>11.444141689373296</v>
      </c>
      <c r="N163" s="207">
        <f t="shared" ref="N163" si="312">N162/$B162*100</f>
        <v>4.9046321525885563</v>
      </c>
      <c r="O163" s="207">
        <f t="shared" ref="O163" si="313">O162/$B162*100</f>
        <v>4.7683923705722071</v>
      </c>
      <c r="P163" s="208"/>
      <c r="Q163" s="104"/>
    </row>
    <row r="164" spans="1:19" ht="13.5" customHeight="1" x14ac:dyDescent="0.2">
      <c r="A164" s="259" t="str">
        <f>"まだまだ不満だ(n = "&amp;B164&amp;" )"</f>
        <v>まだまだ不満だ(n = 622 )</v>
      </c>
      <c r="B164" s="34">
        <v>622</v>
      </c>
      <c r="C164" s="31">
        <v>382</v>
      </c>
      <c r="D164" s="32">
        <v>504</v>
      </c>
      <c r="E164" s="32">
        <v>216</v>
      </c>
      <c r="F164" s="32">
        <v>14</v>
      </c>
      <c r="G164" s="32">
        <v>25</v>
      </c>
      <c r="H164" s="32">
        <v>112</v>
      </c>
      <c r="I164" s="32">
        <v>148</v>
      </c>
      <c r="J164" s="32">
        <v>43</v>
      </c>
      <c r="K164" s="32">
        <v>42</v>
      </c>
      <c r="L164" s="32">
        <v>57</v>
      </c>
      <c r="M164" s="32">
        <v>90</v>
      </c>
      <c r="N164" s="32">
        <v>23</v>
      </c>
      <c r="O164" s="32">
        <v>2</v>
      </c>
      <c r="P164" s="33"/>
      <c r="Q164" s="104">
        <f t="shared" si="287"/>
        <v>1658</v>
      </c>
      <c r="R164" s="166">
        <f>B164</f>
        <v>622</v>
      </c>
      <c r="S164" s="166"/>
    </row>
    <row r="165" spans="1:19" x14ac:dyDescent="0.2">
      <c r="A165" s="260"/>
      <c r="B165" s="20">
        <f>B164/$B$158*100</f>
        <v>38.490099009900987</v>
      </c>
      <c r="C165" s="20">
        <f t="shared" ref="C165" si="314">C164/$B164*100</f>
        <v>61.414790996784561</v>
      </c>
      <c r="D165" s="207">
        <f t="shared" ref="D165" si="315">D164/$B164*100</f>
        <v>81.028938906752416</v>
      </c>
      <c r="E165" s="207">
        <f t="shared" ref="E165" si="316">E164/$B164*100</f>
        <v>34.726688102893895</v>
      </c>
      <c r="F165" s="207">
        <f t="shared" ref="F165" si="317">F164/$B164*100</f>
        <v>2.2508038585209005</v>
      </c>
      <c r="G165" s="207">
        <f t="shared" ref="G165" si="318">G164/$B164*100</f>
        <v>4.019292604501608</v>
      </c>
      <c r="H165" s="207">
        <f t="shared" ref="H165" si="319">H164/$B164*100</f>
        <v>18.006430868167204</v>
      </c>
      <c r="I165" s="207">
        <f t="shared" ref="I165" si="320">I164/$B164*100</f>
        <v>23.79421221864952</v>
      </c>
      <c r="J165" s="207">
        <f t="shared" ref="J165" si="321">J164/$B164*100</f>
        <v>6.9131832797427659</v>
      </c>
      <c r="K165" s="207">
        <f t="shared" ref="K165" si="322">K164/$B164*100</f>
        <v>6.7524115755627019</v>
      </c>
      <c r="L165" s="207">
        <f t="shared" ref="L165" si="323">L164/$B164*100</f>
        <v>9.163987138263666</v>
      </c>
      <c r="M165" s="207">
        <f t="shared" ref="M165" si="324">M164/$B164*100</f>
        <v>14.469453376205788</v>
      </c>
      <c r="N165" s="207">
        <f t="shared" ref="N165" si="325">N164/$B164*100</f>
        <v>3.697749196141479</v>
      </c>
      <c r="O165" s="207">
        <f t="shared" ref="O165" si="326">O164/$B164*100</f>
        <v>0.32154340836012862</v>
      </c>
      <c r="P165" s="208"/>
      <c r="Q165" s="104"/>
      <c r="S165">
        <f>SUM(R164,R166)</f>
        <v>752</v>
      </c>
    </row>
    <row r="166" spans="1:19" ht="13.5" customHeight="1" x14ac:dyDescent="0.2">
      <c r="A166" s="259" t="str">
        <f>"きわめて不満だ(n = "&amp;B166&amp;" )"</f>
        <v>きわめて不満だ(n = 130 )</v>
      </c>
      <c r="B166" s="34">
        <v>130</v>
      </c>
      <c r="C166" s="31">
        <v>86</v>
      </c>
      <c r="D166" s="32">
        <v>109</v>
      </c>
      <c r="E166" s="32">
        <v>44</v>
      </c>
      <c r="F166" s="32">
        <v>6</v>
      </c>
      <c r="G166" s="32">
        <v>11</v>
      </c>
      <c r="H166" s="32">
        <v>15</v>
      </c>
      <c r="I166" s="32">
        <v>29</v>
      </c>
      <c r="J166" s="32">
        <v>15</v>
      </c>
      <c r="K166" s="32">
        <v>14</v>
      </c>
      <c r="L166" s="32">
        <v>17</v>
      </c>
      <c r="M166" s="32">
        <v>11</v>
      </c>
      <c r="N166" s="32">
        <v>11</v>
      </c>
      <c r="O166" s="32">
        <v>0</v>
      </c>
      <c r="P166" s="33"/>
      <c r="Q166" s="104">
        <f t="shared" si="287"/>
        <v>368</v>
      </c>
      <c r="R166" s="166">
        <f>B166</f>
        <v>130</v>
      </c>
      <c r="S166" t="str">
        <f>" 不満層（N = "&amp;Q192&amp;" : n = "&amp;S165&amp;"）"</f>
        <v xml:space="preserve"> 不満層（N = 2,026 : n = 752）</v>
      </c>
    </row>
    <row r="167" spans="1:19" x14ac:dyDescent="0.2">
      <c r="A167" s="260"/>
      <c r="B167" s="20">
        <f>B166/$B$158*100</f>
        <v>8.0445544554455441</v>
      </c>
      <c r="C167" s="20">
        <f t="shared" ref="C167" si="327">C166/$B166*100</f>
        <v>66.153846153846146</v>
      </c>
      <c r="D167" s="207">
        <f t="shared" ref="D167" si="328">D166/$B166*100</f>
        <v>83.846153846153854</v>
      </c>
      <c r="E167" s="207">
        <f t="shared" ref="E167" si="329">E166/$B166*100</f>
        <v>33.846153846153847</v>
      </c>
      <c r="F167" s="207">
        <f t="shared" ref="F167" si="330">F166/$B166*100</f>
        <v>4.6153846153846159</v>
      </c>
      <c r="G167" s="207">
        <f t="shared" ref="G167" si="331">G166/$B166*100</f>
        <v>8.4615384615384617</v>
      </c>
      <c r="H167" s="207">
        <f t="shared" ref="H167" si="332">H166/$B166*100</f>
        <v>11.538461538461538</v>
      </c>
      <c r="I167" s="207">
        <f t="shared" ref="I167" si="333">I166/$B166*100</f>
        <v>22.30769230769231</v>
      </c>
      <c r="J167" s="207">
        <f t="shared" ref="J167" si="334">J166/$B166*100</f>
        <v>11.538461538461538</v>
      </c>
      <c r="K167" s="207">
        <f t="shared" ref="K167" si="335">K166/$B166*100</f>
        <v>10.76923076923077</v>
      </c>
      <c r="L167" s="207">
        <f t="shared" ref="L167" si="336">L166/$B166*100</f>
        <v>13.076923076923078</v>
      </c>
      <c r="M167" s="207">
        <f t="shared" ref="M167" si="337">M166/$B166*100</f>
        <v>8.4615384615384617</v>
      </c>
      <c r="N167" s="207">
        <f t="shared" ref="N167" si="338">N166/$B166*100</f>
        <v>8.4615384615384617</v>
      </c>
      <c r="O167" s="207">
        <f t="shared" ref="O167" si="339">O166/$B166*100</f>
        <v>0</v>
      </c>
      <c r="P167" s="208"/>
      <c r="Q167" s="104"/>
    </row>
    <row r="168" spans="1:19" ht="13.5" customHeight="1" x14ac:dyDescent="0.2">
      <c r="A168" s="259" t="str">
        <f>"わからない(n = "&amp;B168&amp;" )"</f>
        <v>わからない(n = 59 )</v>
      </c>
      <c r="B168" s="34">
        <v>59</v>
      </c>
      <c r="C168" s="31">
        <v>41</v>
      </c>
      <c r="D168" s="32">
        <v>30</v>
      </c>
      <c r="E168" s="32">
        <v>13</v>
      </c>
      <c r="F168" s="32">
        <v>1</v>
      </c>
      <c r="G168" s="32">
        <v>1</v>
      </c>
      <c r="H168" s="32">
        <v>4</v>
      </c>
      <c r="I168" s="32">
        <v>21</v>
      </c>
      <c r="J168" s="32">
        <v>5</v>
      </c>
      <c r="K168" s="32">
        <v>7</v>
      </c>
      <c r="L168" s="32">
        <v>4</v>
      </c>
      <c r="M168" s="32">
        <v>3</v>
      </c>
      <c r="N168" s="32">
        <v>3</v>
      </c>
      <c r="O168" s="32">
        <v>6</v>
      </c>
      <c r="P168" s="33"/>
      <c r="Q168" s="104">
        <f t="shared" si="287"/>
        <v>139</v>
      </c>
      <c r="R168" s="166">
        <f>B168</f>
        <v>59</v>
      </c>
    </row>
    <row r="169" spans="1:19" x14ac:dyDescent="0.2">
      <c r="A169" s="260"/>
      <c r="B169" s="20">
        <f>B168/$B$158*100</f>
        <v>3.6509900990099009</v>
      </c>
      <c r="C169" s="20">
        <f t="shared" ref="C169" si="340">C168/$B168*100</f>
        <v>69.491525423728817</v>
      </c>
      <c r="D169" s="207">
        <f t="shared" ref="D169" si="341">D168/$B168*100</f>
        <v>50.847457627118644</v>
      </c>
      <c r="E169" s="207">
        <f t="shared" ref="E169" si="342">E168/$B168*100</f>
        <v>22.033898305084744</v>
      </c>
      <c r="F169" s="207">
        <f t="shared" ref="F169" si="343">F168/$B168*100</f>
        <v>1.6949152542372881</v>
      </c>
      <c r="G169" s="207">
        <f t="shared" ref="G169" si="344">G168/$B168*100</f>
        <v>1.6949152542372881</v>
      </c>
      <c r="H169" s="207">
        <f t="shared" ref="H169" si="345">H168/$B168*100</f>
        <v>6.7796610169491522</v>
      </c>
      <c r="I169" s="207">
        <f t="shared" ref="I169" si="346">I168/$B168*100</f>
        <v>35.593220338983052</v>
      </c>
      <c r="J169" s="207">
        <f t="shared" ref="J169" si="347">J168/$B168*100</f>
        <v>8.4745762711864394</v>
      </c>
      <c r="K169" s="207">
        <f t="shared" ref="K169" si="348">K168/$B168*100</f>
        <v>11.864406779661017</v>
      </c>
      <c r="L169" s="207">
        <f t="shared" ref="L169" si="349">L168/$B168*100</f>
        <v>6.7796610169491522</v>
      </c>
      <c r="M169" s="207">
        <f t="shared" ref="M169" si="350">M168/$B168*100</f>
        <v>5.0847457627118651</v>
      </c>
      <c r="N169" s="207">
        <f t="shared" ref="N169" si="351">N168/$B168*100</f>
        <v>5.0847457627118651</v>
      </c>
      <c r="O169" s="207">
        <f t="shared" ref="O169" si="352">O168/$B168*100</f>
        <v>10.16949152542373</v>
      </c>
      <c r="P169" s="208"/>
      <c r="Q169" s="104"/>
    </row>
    <row r="170" spans="1:19" s="183" customFormat="1" x14ac:dyDescent="0.2">
      <c r="A170" s="181"/>
      <c r="B170" s="182"/>
      <c r="C170" s="172">
        <f>_xlfn.RANK.EQ(C159,$C$159:$P$159,0)</f>
        <v>2</v>
      </c>
      <c r="D170" s="172">
        <f t="shared" ref="D170:P170" si="353">_xlfn.RANK.EQ(D159,$C$159:$P$159,0)</f>
        <v>1</v>
      </c>
      <c r="E170" s="172">
        <f t="shared" si="353"/>
        <v>3</v>
      </c>
      <c r="F170" s="172">
        <f t="shared" si="353"/>
        <v>13</v>
      </c>
      <c r="G170" s="172">
        <f t="shared" si="353"/>
        <v>11</v>
      </c>
      <c r="H170" s="172">
        <f t="shared" si="353"/>
        <v>5</v>
      </c>
      <c r="I170" s="172">
        <f t="shared" si="353"/>
        <v>4</v>
      </c>
      <c r="J170" s="172">
        <f t="shared" si="353"/>
        <v>8</v>
      </c>
      <c r="K170" s="172">
        <f t="shared" si="353"/>
        <v>8</v>
      </c>
      <c r="L170" s="172">
        <f t="shared" si="353"/>
        <v>7</v>
      </c>
      <c r="M170" s="172">
        <f t="shared" si="353"/>
        <v>6</v>
      </c>
      <c r="N170" s="172">
        <f t="shared" si="353"/>
        <v>10</v>
      </c>
      <c r="O170" s="172">
        <f t="shared" si="353"/>
        <v>12</v>
      </c>
      <c r="P170" s="172" t="e">
        <f t="shared" si="353"/>
        <v>#N/A</v>
      </c>
    </row>
    <row r="171" spans="1:19" x14ac:dyDescent="0.2">
      <c r="A171" s="26" t="s">
        <v>197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104"/>
    </row>
    <row r="172" spans="1:19" x14ac:dyDescent="0.2">
      <c r="A172" s="6" t="s">
        <v>4</v>
      </c>
      <c r="B172" s="4"/>
      <c r="C172" s="27">
        <v>1</v>
      </c>
      <c r="D172" s="27">
        <v>2</v>
      </c>
      <c r="E172" s="27">
        <v>3</v>
      </c>
      <c r="F172" s="27">
        <v>4</v>
      </c>
      <c r="G172" s="27">
        <v>5</v>
      </c>
      <c r="H172" s="27">
        <v>6</v>
      </c>
      <c r="I172" s="27">
        <v>7</v>
      </c>
      <c r="J172" s="27">
        <v>8</v>
      </c>
      <c r="K172" s="27">
        <v>9</v>
      </c>
      <c r="L172" s="27">
        <v>10</v>
      </c>
      <c r="M172" s="27">
        <v>11</v>
      </c>
      <c r="N172" s="27">
        <v>12</v>
      </c>
      <c r="O172" s="27">
        <v>13</v>
      </c>
      <c r="P172" s="27">
        <v>14</v>
      </c>
      <c r="Q172" s="7"/>
    </row>
    <row r="173" spans="1:19" ht="90" customHeight="1" x14ac:dyDescent="0.2">
      <c r="A173" s="13" t="s">
        <v>63</v>
      </c>
      <c r="B173" s="37" t="s">
        <v>157</v>
      </c>
      <c r="C173" s="38" t="s">
        <v>205</v>
      </c>
      <c r="D173" s="39" t="s">
        <v>204</v>
      </c>
      <c r="E173" s="39" t="s">
        <v>206</v>
      </c>
      <c r="F173" s="39" t="s">
        <v>53</v>
      </c>
      <c r="G173" s="39" t="s">
        <v>52</v>
      </c>
      <c r="H173" s="40" t="s">
        <v>207</v>
      </c>
      <c r="I173" s="39" t="s">
        <v>56</v>
      </c>
      <c r="J173" s="39" t="s">
        <v>54</v>
      </c>
      <c r="K173" s="220" t="s">
        <v>55</v>
      </c>
      <c r="L173" s="39" t="s">
        <v>51</v>
      </c>
      <c r="M173" s="40" t="s">
        <v>50</v>
      </c>
      <c r="N173" s="39" t="s">
        <v>57</v>
      </c>
      <c r="O173" s="40" t="s">
        <v>75</v>
      </c>
      <c r="P173" s="41"/>
      <c r="Q173" s="196"/>
    </row>
    <row r="174" spans="1:19" x14ac:dyDescent="0.2">
      <c r="A174" s="291" t="str">
        <f>A158</f>
        <v>全体(n = 1,616 )　　</v>
      </c>
      <c r="B174" s="113">
        <f>B158</f>
        <v>1616</v>
      </c>
      <c r="C174" s="129">
        <v>1045</v>
      </c>
      <c r="D174" s="130">
        <v>1038</v>
      </c>
      <c r="E174" s="130">
        <v>455</v>
      </c>
      <c r="F174" s="130">
        <v>401</v>
      </c>
      <c r="G174" s="130">
        <v>263</v>
      </c>
      <c r="H174" s="130">
        <v>191</v>
      </c>
      <c r="I174" s="130">
        <v>140</v>
      </c>
      <c r="J174" s="130">
        <v>111</v>
      </c>
      <c r="K174" s="130">
        <v>111</v>
      </c>
      <c r="L174" s="130">
        <v>68</v>
      </c>
      <c r="M174" s="130">
        <v>42</v>
      </c>
      <c r="N174" s="130">
        <v>75</v>
      </c>
      <c r="O174" s="130">
        <v>64</v>
      </c>
      <c r="P174" s="131"/>
      <c r="Q174" s="7"/>
    </row>
    <row r="175" spans="1:19" x14ac:dyDescent="0.2">
      <c r="A175" s="292"/>
      <c r="B175" s="217">
        <f>B159</f>
        <v>100</v>
      </c>
      <c r="C175" s="211">
        <v>64.665841584158414</v>
      </c>
      <c r="D175" s="213">
        <v>64.232673267326732</v>
      </c>
      <c r="E175" s="213">
        <v>28.155940594059402</v>
      </c>
      <c r="F175" s="213">
        <v>24.814356435643564</v>
      </c>
      <c r="G175" s="213">
        <v>16.274752475247524</v>
      </c>
      <c r="H175" s="213">
        <v>11.819306930693068</v>
      </c>
      <c r="I175" s="213">
        <v>8.6633663366336631</v>
      </c>
      <c r="J175" s="213">
        <v>6.8688118811881189</v>
      </c>
      <c r="K175" s="213">
        <v>6.8688118811881189</v>
      </c>
      <c r="L175" s="213">
        <v>4.2079207920792081</v>
      </c>
      <c r="M175" s="213">
        <v>2.5990099009900991</v>
      </c>
      <c r="N175" s="213">
        <v>4.641089108910891</v>
      </c>
      <c r="O175" s="213">
        <v>3.9603960396039604</v>
      </c>
      <c r="P175" s="214"/>
      <c r="Q175" s="196"/>
    </row>
    <row r="176" spans="1:19" x14ac:dyDescent="0.2">
      <c r="A176" s="293" t="str">
        <f>A160</f>
        <v>十分満足している(n = 59 )</v>
      </c>
      <c r="B176" s="218">
        <f t="shared" ref="B176" si="354">B160</f>
        <v>59</v>
      </c>
      <c r="C176" s="129">
        <v>15</v>
      </c>
      <c r="D176" s="130">
        <v>29</v>
      </c>
      <c r="E176" s="130">
        <v>11</v>
      </c>
      <c r="F176" s="130">
        <v>11</v>
      </c>
      <c r="G176" s="130">
        <v>6</v>
      </c>
      <c r="H176" s="130">
        <v>3</v>
      </c>
      <c r="I176" s="130">
        <v>2</v>
      </c>
      <c r="J176" s="130">
        <v>2</v>
      </c>
      <c r="K176" s="130">
        <v>0</v>
      </c>
      <c r="L176" s="130">
        <v>2</v>
      </c>
      <c r="M176" s="130">
        <v>4</v>
      </c>
      <c r="N176" s="130">
        <v>2</v>
      </c>
      <c r="O176" s="130">
        <v>21</v>
      </c>
      <c r="P176" s="131"/>
      <c r="Q176" s="7"/>
    </row>
    <row r="177" spans="1:31" x14ac:dyDescent="0.2">
      <c r="A177" s="294"/>
      <c r="B177" s="219">
        <f t="shared" ref="B177" si="355">B161</f>
        <v>3.6509900990099009</v>
      </c>
      <c r="C177" s="212">
        <v>25.423728813559322</v>
      </c>
      <c r="D177" s="215">
        <v>49.152542372881356</v>
      </c>
      <c r="E177" s="215">
        <v>18.64406779661017</v>
      </c>
      <c r="F177" s="215">
        <v>18.64406779661017</v>
      </c>
      <c r="G177" s="215">
        <v>10.16949152542373</v>
      </c>
      <c r="H177" s="215">
        <v>5.0847457627118651</v>
      </c>
      <c r="I177" s="215">
        <v>3.3898305084745761</v>
      </c>
      <c r="J177" s="215">
        <v>3.3898305084745761</v>
      </c>
      <c r="K177" s="215">
        <v>0</v>
      </c>
      <c r="L177" s="215">
        <v>3.3898305084745761</v>
      </c>
      <c r="M177" s="215">
        <v>6.7796610169491522</v>
      </c>
      <c r="N177" s="215">
        <v>3.3898305084745761</v>
      </c>
      <c r="O177" s="215">
        <v>35.593220338983052</v>
      </c>
      <c r="P177" s="216"/>
      <c r="Q177" s="196"/>
    </row>
    <row r="178" spans="1:31" x14ac:dyDescent="0.2">
      <c r="A178" s="293" t="str">
        <f>A162</f>
        <v>おおむね満足している(n = 734 )</v>
      </c>
      <c r="B178" s="218">
        <f t="shared" ref="B178" si="356">B162</f>
        <v>734</v>
      </c>
      <c r="C178" s="129">
        <v>387</v>
      </c>
      <c r="D178" s="130">
        <v>500</v>
      </c>
      <c r="E178" s="130">
        <v>171</v>
      </c>
      <c r="F178" s="130">
        <v>192</v>
      </c>
      <c r="G178" s="130">
        <v>126</v>
      </c>
      <c r="H178" s="130">
        <v>84</v>
      </c>
      <c r="I178" s="130">
        <v>60</v>
      </c>
      <c r="J178" s="130">
        <v>46</v>
      </c>
      <c r="K178" s="130">
        <v>48</v>
      </c>
      <c r="L178" s="130">
        <v>29</v>
      </c>
      <c r="M178" s="130">
        <v>17</v>
      </c>
      <c r="N178" s="130">
        <v>36</v>
      </c>
      <c r="O178" s="130">
        <v>35</v>
      </c>
      <c r="P178" s="131"/>
      <c r="Q178" s="7"/>
    </row>
    <row r="179" spans="1:31" x14ac:dyDescent="0.2">
      <c r="A179" s="294"/>
      <c r="B179" s="219">
        <f t="shared" ref="B179" si="357">B163</f>
        <v>45.420792079207921</v>
      </c>
      <c r="C179" s="212">
        <v>52.724795640326974</v>
      </c>
      <c r="D179" s="215">
        <v>68.119891008174378</v>
      </c>
      <c r="E179" s="215">
        <v>23.297002724795639</v>
      </c>
      <c r="F179" s="215">
        <v>26.158038147138964</v>
      </c>
      <c r="G179" s="215">
        <v>17.166212534059948</v>
      </c>
      <c r="H179" s="215">
        <v>11.444141689373296</v>
      </c>
      <c r="I179" s="215">
        <v>8.1743869209809272</v>
      </c>
      <c r="J179" s="215">
        <v>6.2670299727520433</v>
      </c>
      <c r="K179" s="215">
        <v>6.5395095367847409</v>
      </c>
      <c r="L179" s="215">
        <v>3.9509536784741144</v>
      </c>
      <c r="M179" s="215">
        <v>2.3160762942779289</v>
      </c>
      <c r="N179" s="215">
        <v>4.9046321525885563</v>
      </c>
      <c r="O179" s="215">
        <v>4.7683923705722071</v>
      </c>
      <c r="P179" s="216"/>
      <c r="Q179" s="7"/>
    </row>
    <row r="180" spans="1:31" x14ac:dyDescent="0.2">
      <c r="A180" s="291" t="str">
        <f>A164</f>
        <v>まだまだ不満だ(n = 622 )</v>
      </c>
      <c r="B180" s="218">
        <f t="shared" ref="B180" si="358">B164</f>
        <v>622</v>
      </c>
      <c r="C180" s="129">
        <v>504</v>
      </c>
      <c r="D180" s="130">
        <v>382</v>
      </c>
      <c r="E180" s="130">
        <v>216</v>
      </c>
      <c r="F180" s="130">
        <v>148</v>
      </c>
      <c r="G180" s="130">
        <v>112</v>
      </c>
      <c r="H180" s="130">
        <v>90</v>
      </c>
      <c r="I180" s="130">
        <v>57</v>
      </c>
      <c r="J180" s="130">
        <v>43</v>
      </c>
      <c r="K180" s="130">
        <v>42</v>
      </c>
      <c r="L180" s="130">
        <v>25</v>
      </c>
      <c r="M180" s="130">
        <v>14</v>
      </c>
      <c r="N180" s="130">
        <v>23</v>
      </c>
      <c r="O180" s="130">
        <v>2</v>
      </c>
      <c r="P180" s="131"/>
      <c r="Q180" s="7"/>
    </row>
    <row r="181" spans="1:31" x14ac:dyDescent="0.2">
      <c r="A181" s="292"/>
      <c r="B181" s="219">
        <f t="shared" ref="B181" si="359">B165</f>
        <v>38.490099009900987</v>
      </c>
      <c r="C181" s="212">
        <v>81.028938906752416</v>
      </c>
      <c r="D181" s="215">
        <v>61.414790996784561</v>
      </c>
      <c r="E181" s="215">
        <v>34.726688102893895</v>
      </c>
      <c r="F181" s="215">
        <v>23.79421221864952</v>
      </c>
      <c r="G181" s="215">
        <v>18.006430868167204</v>
      </c>
      <c r="H181" s="215">
        <v>14.469453376205788</v>
      </c>
      <c r="I181" s="215">
        <v>9.163987138263666</v>
      </c>
      <c r="J181" s="215">
        <v>6.9131832797427659</v>
      </c>
      <c r="K181" s="215">
        <v>6.7524115755627019</v>
      </c>
      <c r="L181" s="215">
        <v>4.019292604501608</v>
      </c>
      <c r="M181" s="215">
        <v>2.2508038585209005</v>
      </c>
      <c r="N181" s="215">
        <v>3.697749196141479</v>
      </c>
      <c r="O181" s="215">
        <v>0.32154340836012862</v>
      </c>
      <c r="P181" s="216"/>
      <c r="Q181" s="7"/>
    </row>
    <row r="182" spans="1:31" x14ac:dyDescent="0.2">
      <c r="A182" s="291" t="str">
        <f>A166</f>
        <v>きわめて不満だ(n = 130 )</v>
      </c>
      <c r="B182" s="218">
        <f t="shared" ref="B182" si="360">B166</f>
        <v>130</v>
      </c>
      <c r="C182" s="129">
        <v>109</v>
      </c>
      <c r="D182" s="130">
        <v>86</v>
      </c>
      <c r="E182" s="130">
        <v>44</v>
      </c>
      <c r="F182" s="130">
        <v>29</v>
      </c>
      <c r="G182" s="130">
        <v>15</v>
      </c>
      <c r="H182" s="130">
        <v>11</v>
      </c>
      <c r="I182" s="130">
        <v>17</v>
      </c>
      <c r="J182" s="130">
        <v>15</v>
      </c>
      <c r="K182" s="130">
        <v>14</v>
      </c>
      <c r="L182" s="130">
        <v>11</v>
      </c>
      <c r="M182" s="130">
        <v>6</v>
      </c>
      <c r="N182" s="130">
        <v>11</v>
      </c>
      <c r="O182" s="130">
        <v>0</v>
      </c>
      <c r="P182" s="131"/>
      <c r="Q182" s="7"/>
    </row>
    <row r="183" spans="1:31" x14ac:dyDescent="0.2">
      <c r="A183" s="292"/>
      <c r="B183" s="219">
        <f t="shared" ref="B183" si="361">B167</f>
        <v>8.0445544554455441</v>
      </c>
      <c r="C183" s="212">
        <v>83.846153846153854</v>
      </c>
      <c r="D183" s="215">
        <v>66.153846153846146</v>
      </c>
      <c r="E183" s="215">
        <v>33.846153846153847</v>
      </c>
      <c r="F183" s="215">
        <v>22.30769230769231</v>
      </c>
      <c r="G183" s="215">
        <v>11.538461538461538</v>
      </c>
      <c r="H183" s="215">
        <v>8.4615384615384617</v>
      </c>
      <c r="I183" s="215">
        <v>13.076923076923078</v>
      </c>
      <c r="J183" s="215">
        <v>11.538461538461538</v>
      </c>
      <c r="K183" s="215">
        <v>10.76923076923077</v>
      </c>
      <c r="L183" s="215">
        <v>8.4615384615384617</v>
      </c>
      <c r="M183" s="215">
        <v>4.6153846153846159</v>
      </c>
      <c r="N183" s="215">
        <v>8.4615384615384617</v>
      </c>
      <c r="O183" s="215">
        <v>0</v>
      </c>
      <c r="P183" s="216"/>
      <c r="Q183" s="7"/>
    </row>
    <row r="184" spans="1:31" x14ac:dyDescent="0.2">
      <c r="A184" s="291" t="str">
        <f>A168</f>
        <v>わからない(n = 59 )</v>
      </c>
      <c r="B184" s="218">
        <f t="shared" ref="B184" si="362">B168</f>
        <v>59</v>
      </c>
      <c r="C184" s="129">
        <v>30</v>
      </c>
      <c r="D184" s="130">
        <v>41</v>
      </c>
      <c r="E184" s="130">
        <v>13</v>
      </c>
      <c r="F184" s="130">
        <v>21</v>
      </c>
      <c r="G184" s="130">
        <v>4</v>
      </c>
      <c r="H184" s="130">
        <v>3</v>
      </c>
      <c r="I184" s="130">
        <v>4</v>
      </c>
      <c r="J184" s="130">
        <v>5</v>
      </c>
      <c r="K184" s="130">
        <v>7</v>
      </c>
      <c r="L184" s="130">
        <v>1</v>
      </c>
      <c r="M184" s="130">
        <v>1</v>
      </c>
      <c r="N184" s="130">
        <v>3</v>
      </c>
      <c r="O184" s="130">
        <v>6</v>
      </c>
      <c r="P184" s="131"/>
      <c r="Q184" s="7"/>
    </row>
    <row r="185" spans="1:31" ht="12.75" customHeight="1" x14ac:dyDescent="0.2">
      <c r="A185" s="292"/>
      <c r="B185" s="219">
        <f t="shared" ref="B185" si="363">B169</f>
        <v>3.6509900990099009</v>
      </c>
      <c r="C185" s="212">
        <v>50.847457627118644</v>
      </c>
      <c r="D185" s="215">
        <v>69.491525423728817</v>
      </c>
      <c r="E185" s="215">
        <v>22.033898305084744</v>
      </c>
      <c r="F185" s="215">
        <v>35.593220338983052</v>
      </c>
      <c r="G185" s="215">
        <v>6.7796610169491522</v>
      </c>
      <c r="H185" s="215">
        <v>5.0847457627118651</v>
      </c>
      <c r="I185" s="215">
        <v>6.7796610169491522</v>
      </c>
      <c r="J185" s="215">
        <v>8.4745762711864394</v>
      </c>
      <c r="K185" s="215">
        <v>11.864406779661017</v>
      </c>
      <c r="L185" s="215">
        <v>1.6949152542372881</v>
      </c>
      <c r="M185" s="215">
        <v>1.6949152542372881</v>
      </c>
      <c r="N185" s="215">
        <v>5.0847457627118651</v>
      </c>
      <c r="O185" s="215">
        <v>10.16949152542373</v>
      </c>
      <c r="P185" s="216"/>
      <c r="Q185" s="7"/>
    </row>
    <row r="186" spans="1:31" ht="12.75" customHeight="1" x14ac:dyDescent="0.2"/>
    <row r="187" spans="1:31" ht="12.75" customHeight="1" x14ac:dyDescent="0.2">
      <c r="A187" s="48" t="s">
        <v>109</v>
      </c>
      <c r="B187" s="1"/>
      <c r="C187" s="8"/>
      <c r="D187" s="5"/>
      <c r="E187" s="5" t="s">
        <v>198</v>
      </c>
      <c r="F187" s="9"/>
      <c r="G187" s="8"/>
      <c r="H187" s="9"/>
      <c r="I187" s="8"/>
      <c r="J187" s="8"/>
      <c r="K187" s="8"/>
      <c r="L187" s="8"/>
      <c r="M187" s="8"/>
      <c r="N187" s="8"/>
      <c r="O187" s="8"/>
      <c r="P187" s="8"/>
      <c r="R187" s="45"/>
      <c r="S187" s="27">
        <v>1</v>
      </c>
      <c r="T187" s="27">
        <v>2</v>
      </c>
      <c r="U187" s="27">
        <v>3</v>
      </c>
      <c r="V187" s="27">
        <v>4</v>
      </c>
      <c r="W187" s="27">
        <v>5</v>
      </c>
      <c r="X187" s="27">
        <v>6</v>
      </c>
      <c r="Y187" s="27">
        <v>7</v>
      </c>
      <c r="Z187" s="27">
        <v>8</v>
      </c>
      <c r="AA187" s="27">
        <v>9</v>
      </c>
      <c r="AB187" s="27">
        <v>10</v>
      </c>
      <c r="AC187" s="27">
        <v>11</v>
      </c>
      <c r="AD187" s="27">
        <v>12</v>
      </c>
      <c r="AE187" s="27">
        <v>13</v>
      </c>
    </row>
    <row r="188" spans="1:31" ht="68.25" customHeight="1" x14ac:dyDescent="0.2">
      <c r="A188" s="13" t="str">
        <f>A173</f>
        <v>【くらしの満足度別】</v>
      </c>
      <c r="B188" s="59" t="str">
        <f>B173</f>
        <v>調査数</v>
      </c>
      <c r="C188" s="60" t="str">
        <f t="shared" ref="C188:D188" si="364">C173</f>
        <v>収入・貯蓄</v>
      </c>
      <c r="D188" s="61" t="str">
        <f t="shared" si="364"/>
        <v>健康・体力</v>
      </c>
      <c r="E188" s="61" t="str">
        <f>E173</f>
        <v>仕事</v>
      </c>
      <c r="F188" s="61" t="str">
        <f>F173</f>
        <v>介護</v>
      </c>
      <c r="G188" s="61" t="str">
        <f t="shared" ref="G188:O188" si="365">G173</f>
        <v>子育て・子どもの教育</v>
      </c>
      <c r="H188" s="61" t="str">
        <f>H173</f>
        <v>地域の住環境（上下水道、公園、
        道路、公共交通機関など）</v>
      </c>
      <c r="I188" s="61" t="str">
        <f t="shared" si="365"/>
        <v>住宅</v>
      </c>
      <c r="J188" s="61" t="str">
        <f t="shared" si="365"/>
        <v>家庭での人間関係</v>
      </c>
      <c r="K188" s="61" t="str">
        <f t="shared" si="365"/>
        <v>地域での人間関係</v>
      </c>
      <c r="L188" s="61" t="str">
        <f t="shared" si="365"/>
        <v>結婚</v>
      </c>
      <c r="M188" s="61" t="str">
        <f t="shared" si="365"/>
        <v>就職</v>
      </c>
      <c r="N188" s="62" t="str">
        <f t="shared" si="365"/>
        <v>その他</v>
      </c>
      <c r="O188" s="62" t="str">
        <f t="shared" si="365"/>
        <v>特にない</v>
      </c>
      <c r="P188" s="63"/>
      <c r="Q188" s="44" t="s">
        <v>32</v>
      </c>
      <c r="R188" s="12" t="str">
        <f>A188</f>
        <v>【くらしの満足度別】</v>
      </c>
      <c r="S188" s="60" t="str">
        <f>C188</f>
        <v>収入・貯蓄</v>
      </c>
      <c r="T188" s="61" t="str">
        <f t="shared" ref="T188:AE188" si="366">D188</f>
        <v>健康・体力</v>
      </c>
      <c r="U188" s="61" t="str">
        <f t="shared" si="366"/>
        <v>仕事</v>
      </c>
      <c r="V188" s="61" t="str">
        <f t="shared" si="366"/>
        <v>介護</v>
      </c>
      <c r="W188" s="61" t="str">
        <f t="shared" si="366"/>
        <v>子育て・子どもの教育</v>
      </c>
      <c r="X188" s="61" t="str">
        <f t="shared" si="366"/>
        <v>地域の住環境（上下水道、公園、
        道路、公共交通機関など）</v>
      </c>
      <c r="Y188" s="61" t="str">
        <f t="shared" si="366"/>
        <v>住宅</v>
      </c>
      <c r="Z188" s="61" t="str">
        <f t="shared" si="366"/>
        <v>家庭での人間関係</v>
      </c>
      <c r="AA188" s="61" t="str">
        <f t="shared" si="366"/>
        <v>地域での人間関係</v>
      </c>
      <c r="AB188" s="61" t="str">
        <f t="shared" si="366"/>
        <v>結婚</v>
      </c>
      <c r="AC188" s="61" t="str">
        <f t="shared" si="366"/>
        <v>就職</v>
      </c>
      <c r="AD188" s="62" t="str">
        <f t="shared" si="366"/>
        <v>その他</v>
      </c>
      <c r="AE188" s="63" t="str">
        <f t="shared" si="366"/>
        <v>特にない</v>
      </c>
    </row>
    <row r="189" spans="1:31" ht="12.75" customHeight="1" x14ac:dyDescent="0.2">
      <c r="A189" s="112" t="s">
        <v>35</v>
      </c>
      <c r="B189" s="198">
        <f>B176+B178</f>
        <v>793</v>
      </c>
      <c r="C189" s="144">
        <f>C176+C178</f>
        <v>402</v>
      </c>
      <c r="D189" s="145">
        <f t="shared" ref="D189" si="367">D176+D178</f>
        <v>529</v>
      </c>
      <c r="E189" s="145">
        <f>E176+E178</f>
        <v>182</v>
      </c>
      <c r="F189" s="145">
        <f>F176+F178</f>
        <v>203</v>
      </c>
      <c r="G189" s="145">
        <f t="shared" ref="G189:O189" si="368">G176+G178</f>
        <v>132</v>
      </c>
      <c r="H189" s="145">
        <f t="shared" si="368"/>
        <v>87</v>
      </c>
      <c r="I189" s="145">
        <f t="shared" si="368"/>
        <v>62</v>
      </c>
      <c r="J189" s="145">
        <f t="shared" si="368"/>
        <v>48</v>
      </c>
      <c r="K189" s="145">
        <f t="shared" si="368"/>
        <v>48</v>
      </c>
      <c r="L189" s="145">
        <f t="shared" si="368"/>
        <v>31</v>
      </c>
      <c r="M189" s="145">
        <f t="shared" si="368"/>
        <v>21</v>
      </c>
      <c r="N189" s="145">
        <f t="shared" si="368"/>
        <v>38</v>
      </c>
      <c r="O189" s="146">
        <f t="shared" si="368"/>
        <v>56</v>
      </c>
      <c r="P189" s="147"/>
      <c r="Q189" s="197">
        <f>SUM($C189:P189)</f>
        <v>1839</v>
      </c>
      <c r="R189" s="93" t="str">
        <f>A189</f>
        <v>満足層</v>
      </c>
      <c r="S189" s="84">
        <f>C190</f>
        <v>50.7</v>
      </c>
      <c r="T189" s="85">
        <f t="shared" ref="T189:AE189" si="369">D190</f>
        <v>66.7</v>
      </c>
      <c r="U189" s="85">
        <f t="shared" si="369"/>
        <v>23</v>
      </c>
      <c r="V189" s="85">
        <f t="shared" si="369"/>
        <v>25.6</v>
      </c>
      <c r="W189" s="85">
        <f t="shared" si="369"/>
        <v>16.600000000000001</v>
      </c>
      <c r="X189" s="85">
        <f t="shared" si="369"/>
        <v>11</v>
      </c>
      <c r="Y189" s="85">
        <f t="shared" si="369"/>
        <v>7.8</v>
      </c>
      <c r="Z189" s="85">
        <f t="shared" si="369"/>
        <v>6.1</v>
      </c>
      <c r="AA189" s="85">
        <f t="shared" si="369"/>
        <v>6.1</v>
      </c>
      <c r="AB189" s="85">
        <f t="shared" si="369"/>
        <v>3.9</v>
      </c>
      <c r="AC189" s="85">
        <f t="shared" si="369"/>
        <v>2.6</v>
      </c>
      <c r="AD189" s="86">
        <f t="shared" si="369"/>
        <v>4.8</v>
      </c>
      <c r="AE189" s="87">
        <f t="shared" si="369"/>
        <v>7.1</v>
      </c>
    </row>
    <row r="190" spans="1:31" ht="12.75" customHeight="1" x14ac:dyDescent="0.2">
      <c r="A190" s="42" t="s">
        <v>278</v>
      </c>
      <c r="B190" s="148" t="s">
        <v>199</v>
      </c>
      <c r="C190" s="149">
        <f>ROUND(C189/$B189*100,1)</f>
        <v>50.7</v>
      </c>
      <c r="D190" s="150">
        <f t="shared" ref="D190:O190" si="370">ROUND(D189/$B189*100,1)</f>
        <v>66.7</v>
      </c>
      <c r="E190" s="150">
        <f>ROUND(E189/$B189*100,1)</f>
        <v>23</v>
      </c>
      <c r="F190" s="150">
        <f>ROUND(F189/$B189*100,1)</f>
        <v>25.6</v>
      </c>
      <c r="G190" s="150">
        <f t="shared" si="370"/>
        <v>16.600000000000001</v>
      </c>
      <c r="H190" s="150">
        <f t="shared" si="370"/>
        <v>11</v>
      </c>
      <c r="I190" s="150">
        <f t="shared" si="370"/>
        <v>7.8</v>
      </c>
      <c r="J190" s="150">
        <f t="shared" si="370"/>
        <v>6.1</v>
      </c>
      <c r="K190" s="150">
        <f t="shared" si="370"/>
        <v>6.1</v>
      </c>
      <c r="L190" s="150">
        <f t="shared" si="370"/>
        <v>3.9</v>
      </c>
      <c r="M190" s="150">
        <f t="shared" si="370"/>
        <v>2.6</v>
      </c>
      <c r="N190" s="150">
        <f t="shared" si="370"/>
        <v>4.8</v>
      </c>
      <c r="O190" s="151">
        <f t="shared" si="370"/>
        <v>7.1</v>
      </c>
      <c r="P190" s="152"/>
      <c r="Q190" s="204" t="s">
        <v>281</v>
      </c>
      <c r="R190" s="94" t="str">
        <f>A191</f>
        <v>不満層</v>
      </c>
      <c r="S190" s="78">
        <f>C192</f>
        <v>81.5</v>
      </c>
      <c r="T190" s="79">
        <f t="shared" ref="T190:AE190" si="371">D192</f>
        <v>62.2</v>
      </c>
      <c r="U190" s="79">
        <f t="shared" si="371"/>
        <v>34.6</v>
      </c>
      <c r="V190" s="79">
        <f t="shared" si="371"/>
        <v>23.5</v>
      </c>
      <c r="W190" s="79">
        <f t="shared" si="371"/>
        <v>16.899999999999999</v>
      </c>
      <c r="X190" s="79">
        <f t="shared" si="371"/>
        <v>13.4</v>
      </c>
      <c r="Y190" s="79">
        <f t="shared" si="371"/>
        <v>9.8000000000000007</v>
      </c>
      <c r="Z190" s="79">
        <f t="shared" si="371"/>
        <v>7.7</v>
      </c>
      <c r="AA190" s="79">
        <f t="shared" si="371"/>
        <v>7.4</v>
      </c>
      <c r="AB190" s="79">
        <f t="shared" si="371"/>
        <v>4.8</v>
      </c>
      <c r="AC190" s="79">
        <f t="shared" si="371"/>
        <v>2.7</v>
      </c>
      <c r="AD190" s="80">
        <f t="shared" si="371"/>
        <v>4.5</v>
      </c>
      <c r="AE190" s="81">
        <f t="shared" si="371"/>
        <v>0.3</v>
      </c>
    </row>
    <row r="191" spans="1:31" ht="12.75" customHeight="1" x14ac:dyDescent="0.2">
      <c r="A191" s="112" t="s">
        <v>36</v>
      </c>
      <c r="B191" s="153">
        <f>B180+B182</f>
        <v>752</v>
      </c>
      <c r="C191" s="129">
        <f>C180+C182</f>
        <v>613</v>
      </c>
      <c r="D191" s="130">
        <f t="shared" ref="D191" si="372">D180+D182</f>
        <v>468</v>
      </c>
      <c r="E191" s="130">
        <f>E180+E182</f>
        <v>260</v>
      </c>
      <c r="F191" s="130">
        <f>F180+F182</f>
        <v>177</v>
      </c>
      <c r="G191" s="130">
        <f t="shared" ref="G191:O191" si="373">G180+G182</f>
        <v>127</v>
      </c>
      <c r="H191" s="130">
        <f t="shared" si="373"/>
        <v>101</v>
      </c>
      <c r="I191" s="130">
        <f>I180+I182</f>
        <v>74</v>
      </c>
      <c r="J191" s="130">
        <f t="shared" si="373"/>
        <v>58</v>
      </c>
      <c r="K191" s="130">
        <f t="shared" si="373"/>
        <v>56</v>
      </c>
      <c r="L191" s="130">
        <f t="shared" si="373"/>
        <v>36</v>
      </c>
      <c r="M191" s="130">
        <f t="shared" si="373"/>
        <v>20</v>
      </c>
      <c r="N191" s="130">
        <f t="shared" si="373"/>
        <v>34</v>
      </c>
      <c r="O191" s="140">
        <f t="shared" si="373"/>
        <v>2</v>
      </c>
      <c r="P191" s="131"/>
      <c r="Q191" s="197">
        <f>SUM($C191:P191)</f>
        <v>2026</v>
      </c>
    </row>
    <row r="192" spans="1:31" x14ac:dyDescent="0.2">
      <c r="A192" s="42" t="s">
        <v>279</v>
      </c>
      <c r="B192" s="148" t="s">
        <v>200</v>
      </c>
      <c r="C192" s="149">
        <f>ROUND(C191/$B191*100,1)</f>
        <v>81.5</v>
      </c>
      <c r="D192" s="150">
        <f t="shared" ref="D192:O192" si="374">ROUND(D191/$B191*100,1)</f>
        <v>62.2</v>
      </c>
      <c r="E192" s="150">
        <f>ROUND(E191/$B191*100,1)</f>
        <v>34.6</v>
      </c>
      <c r="F192" s="150">
        <f>ROUND(F191/$B191*100,1)</f>
        <v>23.5</v>
      </c>
      <c r="G192" s="150">
        <f t="shared" si="374"/>
        <v>16.899999999999999</v>
      </c>
      <c r="H192" s="150">
        <f t="shared" si="374"/>
        <v>13.4</v>
      </c>
      <c r="I192" s="150">
        <f>ROUND(I191/$B191*100,1)</f>
        <v>9.8000000000000007</v>
      </c>
      <c r="J192" s="150">
        <f t="shared" si="374"/>
        <v>7.7</v>
      </c>
      <c r="K192" s="150">
        <f t="shared" si="374"/>
        <v>7.4</v>
      </c>
      <c r="L192" s="150">
        <f t="shared" si="374"/>
        <v>4.8</v>
      </c>
      <c r="M192" s="150">
        <f t="shared" si="374"/>
        <v>2.7</v>
      </c>
      <c r="N192" s="150">
        <f t="shared" si="374"/>
        <v>4.5</v>
      </c>
      <c r="O192" s="151">
        <f t="shared" si="374"/>
        <v>0.3</v>
      </c>
      <c r="P192" s="152"/>
      <c r="Q192" s="204" t="s">
        <v>259</v>
      </c>
    </row>
  </sheetData>
  <mergeCells count="74">
    <mergeCell ref="A182:A183"/>
    <mergeCell ref="A184:A185"/>
    <mergeCell ref="A166:A167"/>
    <mergeCell ref="A168:A169"/>
    <mergeCell ref="A174:A175"/>
    <mergeCell ref="A176:A177"/>
    <mergeCell ref="A178:A179"/>
    <mergeCell ref="A180:A181"/>
    <mergeCell ref="A164:A165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8:A159"/>
    <mergeCell ref="A160:A161"/>
    <mergeCell ref="A162:A163"/>
    <mergeCell ref="A134:A135"/>
    <mergeCell ref="A108:A109"/>
    <mergeCell ref="A110:A111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06:A107"/>
    <mergeCell ref="A81:A82"/>
    <mergeCell ref="A83:A84"/>
    <mergeCell ref="A85:A86"/>
    <mergeCell ref="A87:A88"/>
    <mergeCell ref="A92:A93"/>
    <mergeCell ref="A94:A95"/>
    <mergeCell ref="A96:A97"/>
    <mergeCell ref="A98:A99"/>
    <mergeCell ref="A100:A101"/>
    <mergeCell ref="A102:A103"/>
    <mergeCell ref="A104:A105"/>
    <mergeCell ref="A79:A80"/>
    <mergeCell ref="A50:A51"/>
    <mergeCell ref="A52:A53"/>
    <mergeCell ref="A54:A55"/>
    <mergeCell ref="A56:A57"/>
    <mergeCell ref="A61:A62"/>
    <mergeCell ref="A63:A64"/>
    <mergeCell ref="A65:A66"/>
    <mergeCell ref="A67:A68"/>
    <mergeCell ref="A69:A70"/>
    <mergeCell ref="A71:A72"/>
    <mergeCell ref="A77:A78"/>
    <mergeCell ref="A48:A49"/>
    <mergeCell ref="A22:A23"/>
    <mergeCell ref="A24:A25"/>
    <mergeCell ref="A26:A27"/>
    <mergeCell ref="A28:A29"/>
    <mergeCell ref="A30:A31"/>
    <mergeCell ref="A32:A33"/>
    <mergeCell ref="A34:A35"/>
    <mergeCell ref="A36:A37"/>
    <mergeCell ref="A42:A43"/>
    <mergeCell ref="A44:A45"/>
    <mergeCell ref="A46:A47"/>
    <mergeCell ref="A17:A18"/>
    <mergeCell ref="A3:A4"/>
    <mergeCell ref="A5:A6"/>
    <mergeCell ref="A7:A8"/>
    <mergeCell ref="A13:A14"/>
    <mergeCell ref="A15:A16"/>
  </mergeCells>
  <phoneticPr fontId="2"/>
  <pageMargins left="0.7" right="0.7" top="0.75" bottom="0.75" header="0.3" footer="0.3"/>
  <pageSetup paperSize="9" scale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fitToPage="1"/>
  </sheetPr>
  <dimension ref="A1:AI192"/>
  <sheetViews>
    <sheetView zoomScaleNormal="100" workbookViewId="0"/>
  </sheetViews>
  <sheetFormatPr defaultRowHeight="13.2" x14ac:dyDescent="0.2"/>
  <cols>
    <col min="19" max="19" width="9" customWidth="1"/>
  </cols>
  <sheetData>
    <row r="1" spans="1:35" x14ac:dyDescent="0.2">
      <c r="A1" s="3" t="s">
        <v>123</v>
      </c>
      <c r="B1" s="1" t="s">
        <v>119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5" ht="32.4" x14ac:dyDescent="0.2">
      <c r="A2" s="12" t="s">
        <v>20</v>
      </c>
      <c r="B2" s="59" t="s">
        <v>3</v>
      </c>
      <c r="C2" s="60" t="s">
        <v>65</v>
      </c>
      <c r="D2" s="61" t="s">
        <v>120</v>
      </c>
      <c r="E2" s="61" t="s">
        <v>66</v>
      </c>
      <c r="F2" s="61" t="s">
        <v>67</v>
      </c>
      <c r="G2" s="61" t="s">
        <v>121</v>
      </c>
      <c r="H2" s="62" t="s">
        <v>68</v>
      </c>
      <c r="I2" s="61" t="s">
        <v>69</v>
      </c>
      <c r="J2" s="62" t="s">
        <v>70</v>
      </c>
      <c r="K2" s="61" t="s">
        <v>71</v>
      </c>
      <c r="L2" s="62" t="s">
        <v>72</v>
      </c>
      <c r="M2" s="61" t="s">
        <v>73</v>
      </c>
      <c r="N2" s="61" t="s">
        <v>122</v>
      </c>
      <c r="O2" s="61" t="s">
        <v>74</v>
      </c>
      <c r="P2" s="61" t="s">
        <v>57</v>
      </c>
      <c r="Q2" s="61" t="s">
        <v>75</v>
      </c>
      <c r="R2" s="63"/>
      <c r="S2" s="103" t="s">
        <v>118</v>
      </c>
    </row>
    <row r="3" spans="1:35" x14ac:dyDescent="0.2">
      <c r="A3" s="269" t="str">
        <f>'問3M（表）'!A3:A4</f>
        <v>全体(n = 1,616 )　　</v>
      </c>
      <c r="B3" s="34">
        <f>'問3M（表）'!B3</f>
        <v>1616</v>
      </c>
      <c r="C3" s="31">
        <f t="shared" ref="C3:Q3" si="0">SUM(C5,C7)</f>
        <v>1036</v>
      </c>
      <c r="D3" s="32">
        <f t="shared" si="0"/>
        <v>902</v>
      </c>
      <c r="E3" s="32">
        <f t="shared" si="0"/>
        <v>121</v>
      </c>
      <c r="F3" s="32">
        <f t="shared" si="0"/>
        <v>19</v>
      </c>
      <c r="G3" s="32">
        <f t="shared" si="0"/>
        <v>308</v>
      </c>
      <c r="H3" s="32">
        <f t="shared" si="0"/>
        <v>285</v>
      </c>
      <c r="I3" s="32">
        <f t="shared" si="0"/>
        <v>46</v>
      </c>
      <c r="J3" s="32">
        <f t="shared" si="0"/>
        <v>236</v>
      </c>
      <c r="K3" s="32">
        <f t="shared" si="0"/>
        <v>216</v>
      </c>
      <c r="L3" s="32">
        <f t="shared" si="0"/>
        <v>225</v>
      </c>
      <c r="M3" s="32">
        <f t="shared" si="0"/>
        <v>186</v>
      </c>
      <c r="N3" s="32">
        <f t="shared" si="0"/>
        <v>204</v>
      </c>
      <c r="O3" s="32">
        <f t="shared" si="0"/>
        <v>642</v>
      </c>
      <c r="P3" s="32">
        <f t="shared" si="0"/>
        <v>11</v>
      </c>
      <c r="Q3" s="32">
        <f t="shared" si="0"/>
        <v>20</v>
      </c>
      <c r="R3" s="33"/>
      <c r="S3" s="104">
        <f>SUM($C3:R3)</f>
        <v>4457</v>
      </c>
      <c r="T3" s="166"/>
    </row>
    <row r="4" spans="1:35" x14ac:dyDescent="0.2">
      <c r="A4" s="270"/>
      <c r="B4" s="35">
        <v>100</v>
      </c>
      <c r="C4" s="20">
        <f>C3/$B3*100</f>
        <v>64.10891089108911</v>
      </c>
      <c r="D4" s="207">
        <f t="shared" ref="D4:Q4" si="1">D3/$B3*100</f>
        <v>55.816831683168324</v>
      </c>
      <c r="E4" s="207">
        <f t="shared" si="1"/>
        <v>7.4876237623762369</v>
      </c>
      <c r="F4" s="207">
        <f t="shared" si="1"/>
        <v>1.1757425742574257</v>
      </c>
      <c r="G4" s="207">
        <f t="shared" si="1"/>
        <v>19.059405940594061</v>
      </c>
      <c r="H4" s="207">
        <f t="shared" si="1"/>
        <v>17.636138613861384</v>
      </c>
      <c r="I4" s="207">
        <f t="shared" si="1"/>
        <v>2.8465346534653468</v>
      </c>
      <c r="J4" s="207">
        <f t="shared" si="1"/>
        <v>14.603960396039604</v>
      </c>
      <c r="K4" s="207">
        <f t="shared" si="1"/>
        <v>13.366336633663368</v>
      </c>
      <c r="L4" s="207">
        <f t="shared" si="1"/>
        <v>13.923267326732674</v>
      </c>
      <c r="M4" s="207">
        <f t="shared" si="1"/>
        <v>11.509900990099011</v>
      </c>
      <c r="N4" s="207">
        <f t="shared" si="1"/>
        <v>12.623762376237623</v>
      </c>
      <c r="O4" s="207">
        <f t="shared" si="1"/>
        <v>39.727722772277232</v>
      </c>
      <c r="P4" s="207">
        <f t="shared" si="1"/>
        <v>0.68069306930693074</v>
      </c>
      <c r="Q4" s="207">
        <f t="shared" si="1"/>
        <v>1.2376237623762376</v>
      </c>
      <c r="R4" s="208"/>
      <c r="S4" s="104"/>
    </row>
    <row r="5" spans="1:35" ht="13.5" customHeight="1" x14ac:dyDescent="0.2">
      <c r="A5" s="269" t="str">
        <f>'問3M（表）'!A5:A6</f>
        <v>男性(n = 705 )　　</v>
      </c>
      <c r="B5" s="34">
        <f>'問3M（表）'!B5</f>
        <v>705</v>
      </c>
      <c r="C5" s="28">
        <v>450</v>
      </c>
      <c r="D5" s="29">
        <v>404</v>
      </c>
      <c r="E5" s="29">
        <v>57</v>
      </c>
      <c r="F5" s="29">
        <v>15</v>
      </c>
      <c r="G5" s="29">
        <v>152</v>
      </c>
      <c r="H5" s="29">
        <v>143</v>
      </c>
      <c r="I5" s="29">
        <v>29</v>
      </c>
      <c r="J5" s="29">
        <v>102</v>
      </c>
      <c r="K5" s="29">
        <v>99</v>
      </c>
      <c r="L5" s="29">
        <v>80</v>
      </c>
      <c r="M5" s="29">
        <v>60</v>
      </c>
      <c r="N5" s="29">
        <v>70</v>
      </c>
      <c r="O5" s="29">
        <v>264</v>
      </c>
      <c r="P5" s="29">
        <v>9</v>
      </c>
      <c r="Q5" s="29">
        <v>10</v>
      </c>
      <c r="R5" s="30"/>
      <c r="S5" s="104">
        <f>SUM($C5:Q5)</f>
        <v>1944</v>
      </c>
      <c r="T5" t="str">
        <f>" 男性（N = "&amp;$S$6&amp;" : n = "&amp;$B$5&amp;"）"</f>
        <v xml:space="preserve"> 男性（N = 1,944 : n = 705）</v>
      </c>
    </row>
    <row r="6" spans="1:35" x14ac:dyDescent="0.2">
      <c r="A6" s="270"/>
      <c r="B6" s="20">
        <f>B5/$B3*100</f>
        <v>43.626237623762378</v>
      </c>
      <c r="C6" s="20">
        <f>C5/$B5*100</f>
        <v>63.829787234042556</v>
      </c>
      <c r="D6" s="207">
        <f t="shared" ref="D6:Q6" si="2">D5/$B5*100</f>
        <v>57.304964539007095</v>
      </c>
      <c r="E6" s="207">
        <f t="shared" si="2"/>
        <v>8.085106382978724</v>
      </c>
      <c r="F6" s="207">
        <f t="shared" si="2"/>
        <v>2.1276595744680851</v>
      </c>
      <c r="G6" s="207">
        <f t="shared" si="2"/>
        <v>21.560283687943262</v>
      </c>
      <c r="H6" s="207">
        <f t="shared" si="2"/>
        <v>20.283687943262411</v>
      </c>
      <c r="I6" s="207">
        <f t="shared" si="2"/>
        <v>4.1134751773049638</v>
      </c>
      <c r="J6" s="207">
        <f t="shared" si="2"/>
        <v>14.468085106382977</v>
      </c>
      <c r="K6" s="207">
        <f t="shared" si="2"/>
        <v>14.042553191489363</v>
      </c>
      <c r="L6" s="207">
        <f t="shared" si="2"/>
        <v>11.347517730496454</v>
      </c>
      <c r="M6" s="207">
        <f t="shared" si="2"/>
        <v>8.5106382978723403</v>
      </c>
      <c r="N6" s="207">
        <f t="shared" si="2"/>
        <v>9.9290780141843982</v>
      </c>
      <c r="O6" s="207">
        <f t="shared" si="2"/>
        <v>37.446808510638299</v>
      </c>
      <c r="P6" s="207">
        <f t="shared" si="2"/>
        <v>1.2765957446808509</v>
      </c>
      <c r="Q6" s="207">
        <f t="shared" si="2"/>
        <v>1.4184397163120568</v>
      </c>
      <c r="R6" s="208"/>
      <c r="S6" s="204" t="s">
        <v>260</v>
      </c>
    </row>
    <row r="7" spans="1:35" ht="13.5" customHeight="1" x14ac:dyDescent="0.2">
      <c r="A7" s="269" t="str">
        <f>'問3M（表）'!A7:A8</f>
        <v>女性(n = 901 )　　</v>
      </c>
      <c r="B7" s="34">
        <f>'問3M（表）'!B7</f>
        <v>901</v>
      </c>
      <c r="C7" s="28">
        <v>586</v>
      </c>
      <c r="D7" s="29">
        <v>498</v>
      </c>
      <c r="E7" s="29">
        <v>64</v>
      </c>
      <c r="F7" s="29">
        <v>4</v>
      </c>
      <c r="G7" s="29">
        <v>156</v>
      </c>
      <c r="H7" s="29">
        <v>142</v>
      </c>
      <c r="I7" s="29">
        <v>17</v>
      </c>
      <c r="J7" s="29">
        <v>134</v>
      </c>
      <c r="K7" s="29">
        <v>117</v>
      </c>
      <c r="L7" s="29">
        <v>145</v>
      </c>
      <c r="M7" s="29">
        <v>126</v>
      </c>
      <c r="N7" s="29">
        <v>134</v>
      </c>
      <c r="O7" s="29">
        <v>378</v>
      </c>
      <c r="P7" s="29">
        <v>2</v>
      </c>
      <c r="Q7" s="29">
        <v>10</v>
      </c>
      <c r="R7" s="30"/>
      <c r="S7" s="104">
        <f>SUM($C7:Q7)</f>
        <v>2513</v>
      </c>
      <c r="T7" t="str">
        <f>" 女性（N = "&amp;$S$8&amp;" : n = "&amp;$B$7&amp;"）"</f>
        <v xml:space="preserve"> 女性（N = 2,513 : n = 901）</v>
      </c>
    </row>
    <row r="8" spans="1:35" x14ac:dyDescent="0.2">
      <c r="A8" s="270"/>
      <c r="B8" s="20">
        <f>B7/$B3*100</f>
        <v>55.754950495049506</v>
      </c>
      <c r="C8" s="20">
        <f t="shared" ref="C8:Q8" si="3">C7/$B7*100</f>
        <v>65.038845726970024</v>
      </c>
      <c r="D8" s="207">
        <f t="shared" si="3"/>
        <v>55.271920088790239</v>
      </c>
      <c r="E8" s="207">
        <f t="shared" si="3"/>
        <v>7.1032186459489459</v>
      </c>
      <c r="F8" s="207">
        <f t="shared" si="3"/>
        <v>0.44395116537180912</v>
      </c>
      <c r="G8" s="207">
        <f t="shared" si="3"/>
        <v>17.314095449500556</v>
      </c>
      <c r="H8" s="207">
        <f t="shared" si="3"/>
        <v>15.760266370699222</v>
      </c>
      <c r="I8" s="207">
        <f t="shared" si="3"/>
        <v>1.8867924528301887</v>
      </c>
      <c r="J8" s="207">
        <f t="shared" si="3"/>
        <v>14.872364039955604</v>
      </c>
      <c r="K8" s="207">
        <f t="shared" si="3"/>
        <v>12.985571587125417</v>
      </c>
      <c r="L8" s="207">
        <f t="shared" si="3"/>
        <v>16.093229744728081</v>
      </c>
      <c r="M8" s="207">
        <f t="shared" si="3"/>
        <v>13.984461709211987</v>
      </c>
      <c r="N8" s="207">
        <f t="shared" si="3"/>
        <v>14.872364039955604</v>
      </c>
      <c r="O8" s="207">
        <f t="shared" si="3"/>
        <v>41.953385127635961</v>
      </c>
      <c r="P8" s="207">
        <f t="shared" si="3"/>
        <v>0.22197558268590456</v>
      </c>
      <c r="Q8" s="207">
        <f t="shared" si="3"/>
        <v>1.1098779134295227</v>
      </c>
      <c r="R8" s="208"/>
      <c r="S8" s="204" t="s">
        <v>261</v>
      </c>
    </row>
    <row r="9" spans="1:35" s="186" customFormat="1" x14ac:dyDescent="0.2">
      <c r="A9" s="184"/>
      <c r="B9" s="182"/>
      <c r="C9" s="172">
        <f>_xlfn.RANK.EQ(C4,$C$4:$R$4,0)</f>
        <v>1</v>
      </c>
      <c r="D9" s="172">
        <f t="shared" ref="D9:R9" si="4">_xlfn.RANK.EQ(D4,$C$4:$R$4,0)</f>
        <v>2</v>
      </c>
      <c r="E9" s="172">
        <f t="shared" si="4"/>
        <v>11</v>
      </c>
      <c r="F9" s="172">
        <f t="shared" si="4"/>
        <v>14</v>
      </c>
      <c r="G9" s="172">
        <f t="shared" si="4"/>
        <v>4</v>
      </c>
      <c r="H9" s="172">
        <f t="shared" si="4"/>
        <v>5</v>
      </c>
      <c r="I9" s="172">
        <f t="shared" si="4"/>
        <v>12</v>
      </c>
      <c r="J9" s="172">
        <f t="shared" si="4"/>
        <v>6</v>
      </c>
      <c r="K9" s="172">
        <f t="shared" si="4"/>
        <v>8</v>
      </c>
      <c r="L9" s="172">
        <f t="shared" si="4"/>
        <v>7</v>
      </c>
      <c r="M9" s="172">
        <f t="shared" si="4"/>
        <v>10</v>
      </c>
      <c r="N9" s="172">
        <f t="shared" si="4"/>
        <v>9</v>
      </c>
      <c r="O9" s="172">
        <f t="shared" si="4"/>
        <v>3</v>
      </c>
      <c r="P9" s="172">
        <f t="shared" si="4"/>
        <v>15</v>
      </c>
      <c r="Q9" s="172">
        <f t="shared" si="4"/>
        <v>13</v>
      </c>
      <c r="R9" s="172" t="e">
        <f t="shared" si="4"/>
        <v>#N/A</v>
      </c>
      <c r="S9" s="185"/>
    </row>
    <row r="10" spans="1:35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5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Q11" s="27">
        <v>15</v>
      </c>
      <c r="R11" s="27">
        <v>16</v>
      </c>
      <c r="T11" s="45"/>
      <c r="U11" s="27">
        <v>1</v>
      </c>
      <c r="V11" s="27">
        <v>2</v>
      </c>
      <c r="W11" s="27">
        <v>3</v>
      </c>
      <c r="X11" s="27">
        <v>4</v>
      </c>
      <c r="Y11" s="27">
        <v>5</v>
      </c>
      <c r="Z11" s="27">
        <v>6</v>
      </c>
      <c r="AA11" s="27">
        <v>7</v>
      </c>
      <c r="AB11" s="27">
        <v>8</v>
      </c>
      <c r="AC11" s="27">
        <v>9</v>
      </c>
      <c r="AD11" s="27">
        <v>10</v>
      </c>
      <c r="AE11" s="27">
        <v>11</v>
      </c>
      <c r="AF11" s="27">
        <v>12</v>
      </c>
      <c r="AG11" s="27">
        <v>13</v>
      </c>
      <c r="AH11" s="27">
        <v>14</v>
      </c>
      <c r="AI11" s="27">
        <v>15</v>
      </c>
    </row>
    <row r="12" spans="1:35" ht="32.4" x14ac:dyDescent="0.2">
      <c r="A12" s="12" t="str">
        <f>A2</f>
        <v>【性別】</v>
      </c>
      <c r="B12" s="59" t="s">
        <v>3</v>
      </c>
      <c r="C12" s="60" t="s">
        <v>65</v>
      </c>
      <c r="D12" s="61" t="s">
        <v>120</v>
      </c>
      <c r="E12" s="61" t="s">
        <v>74</v>
      </c>
      <c r="F12" s="61" t="s">
        <v>121</v>
      </c>
      <c r="G12" s="61" t="s">
        <v>176</v>
      </c>
      <c r="H12" s="61" t="s">
        <v>70</v>
      </c>
      <c r="I12" s="61" t="s">
        <v>72</v>
      </c>
      <c r="J12" s="61" t="s">
        <v>71</v>
      </c>
      <c r="K12" s="61" t="s">
        <v>122</v>
      </c>
      <c r="L12" s="61" t="s">
        <v>73</v>
      </c>
      <c r="M12" s="61" t="s">
        <v>66</v>
      </c>
      <c r="N12" s="62" t="s">
        <v>69</v>
      </c>
      <c r="O12" s="62" t="s">
        <v>67</v>
      </c>
      <c r="P12" s="62" t="s">
        <v>57</v>
      </c>
      <c r="Q12" s="62" t="s">
        <v>75</v>
      </c>
      <c r="R12" s="63"/>
      <c r="S12" s="44" t="s">
        <v>32</v>
      </c>
      <c r="T12" s="12" t="str">
        <f>A12</f>
        <v>【性別】</v>
      </c>
      <c r="U12" s="60" t="str">
        <f>C12</f>
        <v>健康・体力づくり</v>
      </c>
      <c r="V12" s="61" t="str">
        <f t="shared" ref="V12:AI12" si="5">D12</f>
        <v>家計の安定・充実</v>
      </c>
      <c r="W12" s="61" t="str">
        <f t="shared" si="5"/>
        <v>老後の生活への準備</v>
      </c>
      <c r="X12" s="61" t="str">
        <f t="shared" si="5"/>
        <v>仕事（家業・学業を含む）</v>
      </c>
      <c r="Y12" s="61" t="str">
        <f t="shared" si="5"/>
        <v>趣味・レジャー</v>
      </c>
      <c r="Z12" s="61" t="str">
        <f t="shared" si="5"/>
        <v>家族との団らん</v>
      </c>
      <c r="AA12" s="61" t="str">
        <f t="shared" si="5"/>
        <v>子育て・子どもの教育</v>
      </c>
      <c r="AB12" s="61" t="str">
        <f t="shared" si="5"/>
        <v>家族の介護</v>
      </c>
      <c r="AC12" s="61" t="str">
        <f t="shared" si="5"/>
        <v>住まいの改善・充実</v>
      </c>
      <c r="AD12" s="61" t="str">
        <f t="shared" si="5"/>
        <v>衣・食生活の充実</v>
      </c>
      <c r="AE12" s="61" t="str">
        <f t="shared" si="5"/>
        <v>知識や教養の向上</v>
      </c>
      <c r="AF12" s="62" t="str">
        <f t="shared" si="5"/>
        <v>ボランティアや地域活動</v>
      </c>
      <c r="AG12" s="62" t="str">
        <f t="shared" si="5"/>
        <v>社会的地位の向上</v>
      </c>
      <c r="AH12" s="62" t="str">
        <f>P12</f>
        <v>その他</v>
      </c>
      <c r="AI12" s="63" t="str">
        <f t="shared" si="5"/>
        <v>特にない</v>
      </c>
    </row>
    <row r="13" spans="1:35" ht="12.75" customHeight="1" x14ac:dyDescent="0.2">
      <c r="A13" s="269" t="str">
        <f>A3</f>
        <v>全体(n = 1,616 )　　</v>
      </c>
      <c r="B13" s="113">
        <f>B3</f>
        <v>1616</v>
      </c>
      <c r="C13" s="121">
        <v>1036</v>
      </c>
      <c r="D13" s="122">
        <v>902</v>
      </c>
      <c r="E13" s="122">
        <v>642</v>
      </c>
      <c r="F13" s="122">
        <v>308</v>
      </c>
      <c r="G13" s="122">
        <v>285</v>
      </c>
      <c r="H13" s="122">
        <v>236</v>
      </c>
      <c r="I13" s="122">
        <v>225</v>
      </c>
      <c r="J13" s="122">
        <v>216</v>
      </c>
      <c r="K13" s="122">
        <v>204</v>
      </c>
      <c r="L13" s="122">
        <v>186</v>
      </c>
      <c r="M13" s="122">
        <v>121</v>
      </c>
      <c r="N13" s="123">
        <v>46</v>
      </c>
      <c r="O13" s="123">
        <v>19</v>
      </c>
      <c r="P13" s="123">
        <v>11</v>
      </c>
      <c r="Q13" s="123">
        <v>20</v>
      </c>
      <c r="R13" s="124"/>
      <c r="T13" s="93" t="str">
        <f>A15</f>
        <v>男性(n = 705 )　　</v>
      </c>
      <c r="U13" s="74">
        <f>C16</f>
        <v>63.829787234042556</v>
      </c>
      <c r="V13" s="75">
        <f t="shared" ref="V13:AI13" si="6">D16</f>
        <v>57.304964539007095</v>
      </c>
      <c r="W13" s="75">
        <f t="shared" si="6"/>
        <v>37.446808510638299</v>
      </c>
      <c r="X13" s="75">
        <f t="shared" si="6"/>
        <v>21.560283687943262</v>
      </c>
      <c r="Y13" s="75">
        <f t="shared" si="6"/>
        <v>20.283687943262411</v>
      </c>
      <c r="Z13" s="75">
        <f t="shared" si="6"/>
        <v>14.468085106382977</v>
      </c>
      <c r="AA13" s="75">
        <f t="shared" si="6"/>
        <v>11.347517730496454</v>
      </c>
      <c r="AB13" s="75">
        <f t="shared" si="6"/>
        <v>14.042553191489363</v>
      </c>
      <c r="AC13" s="75">
        <f t="shared" si="6"/>
        <v>9.9290780141843982</v>
      </c>
      <c r="AD13" s="75">
        <f t="shared" si="6"/>
        <v>8.5106382978723403</v>
      </c>
      <c r="AE13" s="75">
        <f t="shared" si="6"/>
        <v>8.085106382978724</v>
      </c>
      <c r="AF13" s="76">
        <f t="shared" si="6"/>
        <v>4.1134751773049638</v>
      </c>
      <c r="AG13" s="76">
        <f t="shared" si="6"/>
        <v>2.1276595744680851</v>
      </c>
      <c r="AH13" s="76">
        <f t="shared" si="6"/>
        <v>1.2765957446808509</v>
      </c>
      <c r="AI13" s="77">
        <f t="shared" si="6"/>
        <v>1.4184397163120568</v>
      </c>
    </row>
    <row r="14" spans="1:35" ht="12.75" customHeight="1" x14ac:dyDescent="0.2">
      <c r="A14" s="270"/>
      <c r="B14" s="114">
        <f>B4</f>
        <v>100</v>
      </c>
      <c r="C14" s="125">
        <v>64.10891089108911</v>
      </c>
      <c r="D14" s="126">
        <v>55.816831683168324</v>
      </c>
      <c r="E14" s="126">
        <v>39.727722772277232</v>
      </c>
      <c r="F14" s="126">
        <v>19.059405940594061</v>
      </c>
      <c r="G14" s="126">
        <v>17.636138613861384</v>
      </c>
      <c r="H14" s="126">
        <v>14.603960396039604</v>
      </c>
      <c r="I14" s="126">
        <v>13.923267326732674</v>
      </c>
      <c r="J14" s="126">
        <v>13.366336633663368</v>
      </c>
      <c r="K14" s="126">
        <v>12.623762376237623</v>
      </c>
      <c r="L14" s="126">
        <v>11.509900990099011</v>
      </c>
      <c r="M14" s="126">
        <v>7.4876237623762369</v>
      </c>
      <c r="N14" s="127">
        <v>2.8465346534653468</v>
      </c>
      <c r="O14" s="127">
        <v>1.1757425742574257</v>
      </c>
      <c r="P14" s="127">
        <v>0.68069306930693074</v>
      </c>
      <c r="Q14" s="127">
        <v>1.2376237623762376</v>
      </c>
      <c r="R14" s="128"/>
      <c r="T14" s="94" t="str">
        <f>A17</f>
        <v>女性(n = 901 )　　</v>
      </c>
      <c r="U14" s="78">
        <f>C18</f>
        <v>65.038845726970024</v>
      </c>
      <c r="V14" s="79">
        <f t="shared" ref="V14:AI14" si="7">D18</f>
        <v>55.271920088790239</v>
      </c>
      <c r="W14" s="79">
        <f t="shared" si="7"/>
        <v>41.953385127635961</v>
      </c>
      <c r="X14" s="79">
        <f t="shared" si="7"/>
        <v>17.314095449500556</v>
      </c>
      <c r="Y14" s="79">
        <f t="shared" si="7"/>
        <v>15.760266370699222</v>
      </c>
      <c r="Z14" s="79">
        <f t="shared" si="7"/>
        <v>14.872364039955604</v>
      </c>
      <c r="AA14" s="79">
        <f t="shared" si="7"/>
        <v>16.093229744728081</v>
      </c>
      <c r="AB14" s="79">
        <f t="shared" si="7"/>
        <v>12.985571587125417</v>
      </c>
      <c r="AC14" s="79">
        <f t="shared" si="7"/>
        <v>14.872364039955604</v>
      </c>
      <c r="AD14" s="79">
        <f t="shared" si="7"/>
        <v>13.984461709211987</v>
      </c>
      <c r="AE14" s="79">
        <f t="shared" si="7"/>
        <v>7.1032186459489459</v>
      </c>
      <c r="AF14" s="80">
        <f t="shared" si="7"/>
        <v>1.8867924528301887</v>
      </c>
      <c r="AG14" s="80">
        <f t="shared" si="7"/>
        <v>0.44395116537180912</v>
      </c>
      <c r="AH14" s="80">
        <f t="shared" si="7"/>
        <v>0.22197558268590456</v>
      </c>
      <c r="AI14" s="81">
        <f t="shared" si="7"/>
        <v>1.1098779134295227</v>
      </c>
    </row>
    <row r="15" spans="1:35" x14ac:dyDescent="0.2">
      <c r="A15" s="269" t="str">
        <f>A5</f>
        <v>男性(n = 705 )　　</v>
      </c>
      <c r="B15" s="113">
        <f t="shared" ref="B15:B18" si="8">B5</f>
        <v>705</v>
      </c>
      <c r="C15" s="129">
        <v>450</v>
      </c>
      <c r="D15" s="130">
        <v>404</v>
      </c>
      <c r="E15" s="130">
        <v>264</v>
      </c>
      <c r="F15" s="130">
        <v>152</v>
      </c>
      <c r="G15" s="130">
        <v>143</v>
      </c>
      <c r="H15" s="130">
        <v>102</v>
      </c>
      <c r="I15" s="130">
        <v>80</v>
      </c>
      <c r="J15" s="130">
        <v>99</v>
      </c>
      <c r="K15" s="130">
        <v>70</v>
      </c>
      <c r="L15" s="130">
        <v>60</v>
      </c>
      <c r="M15" s="130">
        <v>57</v>
      </c>
      <c r="N15" s="130">
        <v>29</v>
      </c>
      <c r="O15" s="140">
        <v>15</v>
      </c>
      <c r="P15" s="140">
        <v>9</v>
      </c>
      <c r="Q15" s="140">
        <v>10</v>
      </c>
      <c r="R15" s="131"/>
    </row>
    <row r="16" spans="1:35" x14ac:dyDescent="0.2">
      <c r="A16" s="270"/>
      <c r="B16" s="114">
        <f t="shared" si="8"/>
        <v>43.626237623762378</v>
      </c>
      <c r="C16" s="125">
        <v>63.829787234042556</v>
      </c>
      <c r="D16" s="126">
        <v>57.304964539007095</v>
      </c>
      <c r="E16" s="126">
        <v>37.446808510638299</v>
      </c>
      <c r="F16" s="126">
        <v>21.560283687943262</v>
      </c>
      <c r="G16" s="126">
        <v>20.283687943262411</v>
      </c>
      <c r="H16" s="126">
        <v>14.468085106382977</v>
      </c>
      <c r="I16" s="126">
        <v>11.347517730496454</v>
      </c>
      <c r="J16" s="126">
        <v>14.042553191489363</v>
      </c>
      <c r="K16" s="126">
        <v>9.9290780141843982</v>
      </c>
      <c r="L16" s="126">
        <v>8.5106382978723403</v>
      </c>
      <c r="M16" s="126">
        <v>8.085106382978724</v>
      </c>
      <c r="N16" s="126">
        <v>4.1134751773049638</v>
      </c>
      <c r="O16" s="127">
        <v>2.1276595744680851</v>
      </c>
      <c r="P16" s="127">
        <v>1.2765957446808509</v>
      </c>
      <c r="Q16" s="127">
        <v>1.4184397163120568</v>
      </c>
      <c r="R16" s="128"/>
    </row>
    <row r="17" spans="1:20" x14ac:dyDescent="0.2">
      <c r="A17" s="269" t="str">
        <f>A7</f>
        <v>女性(n = 901 )　　</v>
      </c>
      <c r="B17" s="113">
        <f t="shared" si="8"/>
        <v>901</v>
      </c>
      <c r="C17" s="129">
        <v>586</v>
      </c>
      <c r="D17" s="130">
        <v>498</v>
      </c>
      <c r="E17" s="130">
        <v>378</v>
      </c>
      <c r="F17" s="130">
        <v>156</v>
      </c>
      <c r="G17" s="130">
        <v>142</v>
      </c>
      <c r="H17" s="130">
        <v>134</v>
      </c>
      <c r="I17" s="130">
        <v>145</v>
      </c>
      <c r="J17" s="130">
        <v>117</v>
      </c>
      <c r="K17" s="130">
        <v>134</v>
      </c>
      <c r="L17" s="130">
        <v>126</v>
      </c>
      <c r="M17" s="130">
        <v>64</v>
      </c>
      <c r="N17" s="130">
        <v>17</v>
      </c>
      <c r="O17" s="140">
        <v>4</v>
      </c>
      <c r="P17" s="140">
        <v>2</v>
      </c>
      <c r="Q17" s="140">
        <v>10</v>
      </c>
      <c r="R17" s="131"/>
    </row>
    <row r="18" spans="1:20" x14ac:dyDescent="0.2">
      <c r="A18" s="270"/>
      <c r="B18" s="114">
        <f t="shared" si="8"/>
        <v>55.754950495049506</v>
      </c>
      <c r="C18" s="125">
        <v>65.038845726970024</v>
      </c>
      <c r="D18" s="126">
        <v>55.271920088790239</v>
      </c>
      <c r="E18" s="126">
        <v>41.953385127635961</v>
      </c>
      <c r="F18" s="126">
        <v>17.314095449500556</v>
      </c>
      <c r="G18" s="126">
        <v>15.760266370699222</v>
      </c>
      <c r="H18" s="126">
        <v>14.872364039955604</v>
      </c>
      <c r="I18" s="126">
        <v>16.093229744728081</v>
      </c>
      <c r="J18" s="126">
        <v>12.985571587125417</v>
      </c>
      <c r="K18" s="126">
        <v>14.872364039955604</v>
      </c>
      <c r="L18" s="126">
        <v>13.984461709211987</v>
      </c>
      <c r="M18" s="126">
        <v>7.1032186459489459</v>
      </c>
      <c r="N18" s="126">
        <v>1.8867924528301887</v>
      </c>
      <c r="O18" s="127">
        <v>0.44395116537180912</v>
      </c>
      <c r="P18" s="127">
        <v>0.22197558268590456</v>
      </c>
      <c r="Q18" s="127">
        <v>1.1098779134295227</v>
      </c>
      <c r="R18" s="128"/>
    </row>
    <row r="20" spans="1:20" x14ac:dyDescent="0.2">
      <c r="A20" s="3" t="s">
        <v>165</v>
      </c>
      <c r="B20" s="1" t="str">
        <f>B1</f>
        <v>今後のくらしの中で重視していきたいこと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20" ht="32.4" x14ac:dyDescent="0.2">
      <c r="A21" s="12" t="s">
        <v>59</v>
      </c>
      <c r="B21" s="59" t="str">
        <f>B2</f>
        <v>調査数</v>
      </c>
      <c r="C21" s="60" t="str">
        <f t="shared" ref="C21:Q21" si="9">C2</f>
        <v>健康・体力づくり</v>
      </c>
      <c r="D21" s="61" t="str">
        <f t="shared" si="9"/>
        <v>家計の安定・充実</v>
      </c>
      <c r="E21" s="61" t="str">
        <f t="shared" si="9"/>
        <v>知識や教養の向上</v>
      </c>
      <c r="F21" s="61" t="str">
        <f t="shared" si="9"/>
        <v>社会的地位の向上</v>
      </c>
      <c r="G21" s="61" t="str">
        <f t="shared" si="9"/>
        <v>仕事（家業・学業を含む）</v>
      </c>
      <c r="H21" s="61" t="str">
        <f t="shared" si="9"/>
        <v>趣味・レジャー</v>
      </c>
      <c r="I21" s="62" t="str">
        <f t="shared" si="9"/>
        <v>ボランティアや地域活動</v>
      </c>
      <c r="J21" s="61" t="str">
        <f t="shared" si="9"/>
        <v>家族との団らん</v>
      </c>
      <c r="K21" s="61" t="str">
        <f t="shared" si="9"/>
        <v>家族の介護</v>
      </c>
      <c r="L21" s="61" t="str">
        <f t="shared" si="9"/>
        <v>子育て・子どもの教育</v>
      </c>
      <c r="M21" s="61" t="str">
        <f t="shared" si="9"/>
        <v>衣・食生活の充実</v>
      </c>
      <c r="N21" s="62" t="str">
        <f t="shared" si="9"/>
        <v>住まいの改善・充実</v>
      </c>
      <c r="O21" s="62" t="str">
        <f t="shared" si="9"/>
        <v>老後の生活への準備</v>
      </c>
      <c r="P21" s="62" t="str">
        <f t="shared" si="9"/>
        <v>その他</v>
      </c>
      <c r="Q21" s="62" t="str">
        <f t="shared" si="9"/>
        <v>特にない</v>
      </c>
      <c r="R21" s="63"/>
      <c r="S21" s="103" t="s">
        <v>118</v>
      </c>
      <c r="T21" s="202"/>
    </row>
    <row r="22" spans="1:20" x14ac:dyDescent="0.2">
      <c r="A22" s="269" t="str">
        <f>'問3M（表）'!A22:A23</f>
        <v>全体(n = 1,616 )　　</v>
      </c>
      <c r="B22" s="34">
        <f>'問3M（表）'!B22</f>
        <v>1616</v>
      </c>
      <c r="C22" s="31">
        <f t="shared" ref="C22:Q22" si="10">SUM(C24,C26,C28,C30,C32,C34,C36)</f>
        <v>1033</v>
      </c>
      <c r="D22" s="32">
        <f t="shared" si="10"/>
        <v>901</v>
      </c>
      <c r="E22" s="32">
        <f t="shared" si="10"/>
        <v>121</v>
      </c>
      <c r="F22" s="32">
        <f t="shared" si="10"/>
        <v>19</v>
      </c>
      <c r="G22" s="32">
        <f t="shared" si="10"/>
        <v>307</v>
      </c>
      <c r="H22" s="32">
        <f t="shared" si="10"/>
        <v>286</v>
      </c>
      <c r="I22" s="32">
        <f t="shared" si="10"/>
        <v>46</v>
      </c>
      <c r="J22" s="32">
        <f t="shared" si="10"/>
        <v>236</v>
      </c>
      <c r="K22" s="32">
        <f t="shared" si="10"/>
        <v>215</v>
      </c>
      <c r="L22" s="32">
        <f t="shared" si="10"/>
        <v>224</v>
      </c>
      <c r="M22" s="32">
        <f t="shared" si="10"/>
        <v>186</v>
      </c>
      <c r="N22" s="32">
        <f t="shared" si="10"/>
        <v>206</v>
      </c>
      <c r="O22" s="32">
        <f t="shared" si="10"/>
        <v>642</v>
      </c>
      <c r="P22" s="32">
        <f t="shared" si="10"/>
        <v>11</v>
      </c>
      <c r="Q22" s="32">
        <f t="shared" si="10"/>
        <v>19</v>
      </c>
      <c r="R22" s="33"/>
      <c r="S22" s="104">
        <f>SUM($C22:R22)</f>
        <v>4452</v>
      </c>
      <c r="T22" s="166"/>
    </row>
    <row r="23" spans="1:20" x14ac:dyDescent="0.2">
      <c r="A23" s="270"/>
      <c r="B23" s="20">
        <f>B22/$B$22*100</f>
        <v>100</v>
      </c>
      <c r="C23" s="20">
        <f t="shared" ref="C23" si="11">C22/$B22*100</f>
        <v>63.92326732673267</v>
      </c>
      <c r="D23" s="207">
        <f t="shared" ref="D23" si="12">D22/$B22*100</f>
        <v>55.754950495049506</v>
      </c>
      <c r="E23" s="207">
        <f t="shared" ref="E23" si="13">E22/$B22*100</f>
        <v>7.4876237623762369</v>
      </c>
      <c r="F23" s="207">
        <f t="shared" ref="F23" si="14">F22/$B22*100</f>
        <v>1.1757425742574257</v>
      </c>
      <c r="G23" s="207">
        <f t="shared" ref="G23" si="15">G22/$B22*100</f>
        <v>18.997524752475247</v>
      </c>
      <c r="H23" s="207">
        <f t="shared" ref="H23" si="16">H22/$B22*100</f>
        <v>17.698019801980198</v>
      </c>
      <c r="I23" s="207">
        <f t="shared" ref="I23" si="17">I22/$B22*100</f>
        <v>2.8465346534653468</v>
      </c>
      <c r="J23" s="207">
        <f t="shared" ref="J23" si="18">J22/$B22*100</f>
        <v>14.603960396039604</v>
      </c>
      <c r="K23" s="207">
        <f t="shared" ref="K23" si="19">K22/$B22*100</f>
        <v>13.304455445544555</v>
      </c>
      <c r="L23" s="207">
        <f t="shared" ref="L23" si="20">L22/$B22*100</f>
        <v>13.861386138613863</v>
      </c>
      <c r="M23" s="207">
        <f t="shared" ref="M23" si="21">M22/$B22*100</f>
        <v>11.509900990099011</v>
      </c>
      <c r="N23" s="207">
        <f t="shared" ref="N23" si="22">N22/$B22*100</f>
        <v>12.747524752475247</v>
      </c>
      <c r="O23" s="207">
        <f t="shared" ref="O23" si="23">O22/$B22*100</f>
        <v>39.727722772277232</v>
      </c>
      <c r="P23" s="207">
        <f t="shared" ref="P23" si="24">P22/$B22*100</f>
        <v>0.68069306930693074</v>
      </c>
      <c r="Q23" s="207">
        <f t="shared" ref="Q23" si="25">Q22/$B22*100</f>
        <v>1.1757425742574257</v>
      </c>
      <c r="R23" s="208"/>
      <c r="S23" s="104"/>
    </row>
    <row r="24" spans="1:20" ht="13.5" customHeight="1" x14ac:dyDescent="0.2">
      <c r="A24" s="269" t="str">
        <f>'問3M（表）'!A24:A25</f>
        <v>18～19歳(n = 21 )　　</v>
      </c>
      <c r="B24" s="34">
        <f>'問3M（表）'!B24</f>
        <v>21</v>
      </c>
      <c r="C24" s="31">
        <v>6</v>
      </c>
      <c r="D24" s="32">
        <v>7</v>
      </c>
      <c r="E24" s="32">
        <v>7</v>
      </c>
      <c r="F24" s="32">
        <v>0</v>
      </c>
      <c r="G24" s="32">
        <v>12</v>
      </c>
      <c r="H24" s="32">
        <v>12</v>
      </c>
      <c r="I24" s="32">
        <v>1</v>
      </c>
      <c r="J24" s="32">
        <v>4</v>
      </c>
      <c r="K24" s="32">
        <v>1</v>
      </c>
      <c r="L24" s="32">
        <v>0</v>
      </c>
      <c r="M24" s="32">
        <v>4</v>
      </c>
      <c r="N24" s="32">
        <v>1</v>
      </c>
      <c r="O24" s="32">
        <v>2</v>
      </c>
      <c r="P24" s="32">
        <v>0</v>
      </c>
      <c r="Q24" s="32">
        <v>0</v>
      </c>
      <c r="R24" s="33"/>
      <c r="S24" s="104">
        <f>SUM($C24:R24)</f>
        <v>57</v>
      </c>
      <c r="T24" t="str">
        <f>" 18～19歳（N = "&amp;$S$24&amp;" : n = "&amp;$B$24&amp;"）"</f>
        <v xml:space="preserve"> 18～19歳（N = 57 : n = 21）</v>
      </c>
    </row>
    <row r="25" spans="1:20" x14ac:dyDescent="0.2">
      <c r="A25" s="270"/>
      <c r="B25" s="20">
        <f>B24/$B$22*100</f>
        <v>1.2995049504950495</v>
      </c>
      <c r="C25" s="20">
        <f t="shared" ref="C25" si="26">C24/$B24*100</f>
        <v>28.571428571428569</v>
      </c>
      <c r="D25" s="207">
        <f t="shared" ref="D25" si="27">D24/$B24*100</f>
        <v>33.333333333333329</v>
      </c>
      <c r="E25" s="207">
        <f t="shared" ref="E25" si="28">E24/$B24*100</f>
        <v>33.333333333333329</v>
      </c>
      <c r="F25" s="207">
        <f t="shared" ref="F25" si="29">F24/$B24*100</f>
        <v>0</v>
      </c>
      <c r="G25" s="207">
        <f t="shared" ref="G25" si="30">G24/$B24*100</f>
        <v>57.142857142857139</v>
      </c>
      <c r="H25" s="207">
        <f t="shared" ref="H25" si="31">H24/$B24*100</f>
        <v>57.142857142857139</v>
      </c>
      <c r="I25" s="207">
        <f t="shared" ref="I25" si="32">I24/$B24*100</f>
        <v>4.7619047619047619</v>
      </c>
      <c r="J25" s="207">
        <f t="shared" ref="J25" si="33">J24/$B24*100</f>
        <v>19.047619047619047</v>
      </c>
      <c r="K25" s="207">
        <f t="shared" ref="K25" si="34">K24/$B24*100</f>
        <v>4.7619047619047619</v>
      </c>
      <c r="L25" s="207">
        <f t="shared" ref="L25" si="35">L24/$B24*100</f>
        <v>0</v>
      </c>
      <c r="M25" s="207">
        <f t="shared" ref="M25" si="36">M24/$B24*100</f>
        <v>19.047619047619047</v>
      </c>
      <c r="N25" s="207">
        <f t="shared" ref="N25" si="37">N24/$B24*100</f>
        <v>4.7619047619047619</v>
      </c>
      <c r="O25" s="207">
        <f t="shared" ref="O25" si="38">O24/$B24*100</f>
        <v>9.5238095238095237</v>
      </c>
      <c r="P25" s="207">
        <f t="shared" ref="P25" si="39">P24/$B24*100</f>
        <v>0</v>
      </c>
      <c r="Q25" s="207">
        <f t="shared" ref="Q25" si="40">Q24/$B24*100</f>
        <v>0</v>
      </c>
      <c r="R25" s="208"/>
      <c r="S25" s="104"/>
    </row>
    <row r="26" spans="1:20" ht="13.5" customHeight="1" x14ac:dyDescent="0.2">
      <c r="A26" s="269" t="str">
        <f>'問3M（表）'!A26:A27</f>
        <v>20～29歳(n = 119 )　　</v>
      </c>
      <c r="B26" s="34">
        <f>'問3M（表）'!B26</f>
        <v>119</v>
      </c>
      <c r="C26" s="31">
        <v>42</v>
      </c>
      <c r="D26" s="32">
        <v>75</v>
      </c>
      <c r="E26" s="32">
        <v>23</v>
      </c>
      <c r="F26" s="32">
        <v>7</v>
      </c>
      <c r="G26" s="32">
        <v>40</v>
      </c>
      <c r="H26" s="32">
        <v>44</v>
      </c>
      <c r="I26" s="32">
        <v>1</v>
      </c>
      <c r="J26" s="32">
        <v>23</v>
      </c>
      <c r="K26" s="32">
        <v>3</v>
      </c>
      <c r="L26" s="32">
        <v>18</v>
      </c>
      <c r="M26" s="32">
        <v>29</v>
      </c>
      <c r="N26" s="32">
        <v>10</v>
      </c>
      <c r="O26" s="32">
        <v>11</v>
      </c>
      <c r="P26" s="32">
        <v>0</v>
      </c>
      <c r="Q26" s="32">
        <v>1</v>
      </c>
      <c r="R26" s="33"/>
      <c r="S26" s="104">
        <f>SUM($C26:R26)</f>
        <v>327</v>
      </c>
      <c r="T26" t="str">
        <f>" 20～29歳（N = "&amp;$S$26&amp;" : n = "&amp;$B$26&amp;"）"</f>
        <v xml:space="preserve"> 20～29歳（N = 327 : n = 119）</v>
      </c>
    </row>
    <row r="27" spans="1:20" x14ac:dyDescent="0.2">
      <c r="A27" s="270"/>
      <c r="B27" s="20">
        <f>B26/$B$22*100</f>
        <v>7.3638613861386135</v>
      </c>
      <c r="C27" s="20">
        <f t="shared" ref="C27" si="41">C26/$B26*100</f>
        <v>35.294117647058826</v>
      </c>
      <c r="D27" s="207">
        <f t="shared" ref="D27" si="42">D26/$B26*100</f>
        <v>63.02521008403361</v>
      </c>
      <c r="E27" s="207">
        <f t="shared" ref="E27" si="43">E26/$B26*100</f>
        <v>19.327731092436977</v>
      </c>
      <c r="F27" s="207">
        <f t="shared" ref="F27" si="44">F26/$B26*100</f>
        <v>5.8823529411764701</v>
      </c>
      <c r="G27" s="207">
        <f t="shared" ref="G27" si="45">G26/$B26*100</f>
        <v>33.613445378151262</v>
      </c>
      <c r="H27" s="207">
        <f t="shared" ref="H27" si="46">H26/$B26*100</f>
        <v>36.97478991596639</v>
      </c>
      <c r="I27" s="207">
        <f t="shared" ref="I27" si="47">I26/$B26*100</f>
        <v>0.84033613445378152</v>
      </c>
      <c r="J27" s="207">
        <f t="shared" ref="J27" si="48">J26/$B26*100</f>
        <v>19.327731092436977</v>
      </c>
      <c r="K27" s="207">
        <f t="shared" ref="K27" si="49">K26/$B26*100</f>
        <v>2.5210084033613445</v>
      </c>
      <c r="L27" s="207">
        <f t="shared" ref="L27" si="50">L26/$B26*100</f>
        <v>15.126050420168067</v>
      </c>
      <c r="M27" s="207">
        <f t="shared" ref="M27" si="51">M26/$B26*100</f>
        <v>24.369747899159663</v>
      </c>
      <c r="N27" s="207">
        <f t="shared" ref="N27" si="52">N26/$B26*100</f>
        <v>8.4033613445378155</v>
      </c>
      <c r="O27" s="207">
        <f t="shared" ref="O27" si="53">O26/$B26*100</f>
        <v>9.2436974789915975</v>
      </c>
      <c r="P27" s="207">
        <f t="shared" ref="P27" si="54">P26/$B26*100</f>
        <v>0</v>
      </c>
      <c r="Q27" s="207">
        <f t="shared" ref="Q27" si="55">Q26/$B26*100</f>
        <v>0.84033613445378152</v>
      </c>
      <c r="R27" s="208"/>
      <c r="S27" s="104"/>
    </row>
    <row r="28" spans="1:20" ht="13.5" customHeight="1" x14ac:dyDescent="0.2">
      <c r="A28" s="269" t="str">
        <f>'問3M（表）'!A28:A29</f>
        <v>30～39歳(n = 196 )　　</v>
      </c>
      <c r="B28" s="34">
        <f>'問3M（表）'!B28</f>
        <v>196</v>
      </c>
      <c r="C28" s="31">
        <v>67</v>
      </c>
      <c r="D28" s="32">
        <v>130</v>
      </c>
      <c r="E28" s="32">
        <v>19</v>
      </c>
      <c r="F28" s="32">
        <v>7</v>
      </c>
      <c r="G28" s="32">
        <v>46</v>
      </c>
      <c r="H28" s="32">
        <v>48</v>
      </c>
      <c r="I28" s="32">
        <v>4</v>
      </c>
      <c r="J28" s="32">
        <v>54</v>
      </c>
      <c r="K28" s="32">
        <v>8</v>
      </c>
      <c r="L28" s="32">
        <v>84</v>
      </c>
      <c r="M28" s="32">
        <v>30</v>
      </c>
      <c r="N28" s="32">
        <v>20</v>
      </c>
      <c r="O28" s="32">
        <v>29</v>
      </c>
      <c r="P28" s="32">
        <v>1</v>
      </c>
      <c r="Q28" s="32">
        <v>4</v>
      </c>
      <c r="R28" s="33"/>
      <c r="S28" s="104">
        <f>SUM($C28:R28)</f>
        <v>551</v>
      </c>
      <c r="T28" t="str">
        <f>" 30～39歳（N = "&amp;$S$28&amp;" : n = "&amp;$B$28&amp;"）"</f>
        <v xml:space="preserve"> 30～39歳（N = 551 : n = 196）</v>
      </c>
    </row>
    <row r="29" spans="1:20" x14ac:dyDescent="0.2">
      <c r="A29" s="270"/>
      <c r="B29" s="20">
        <f>B28/$B$22*100</f>
        <v>12.128712871287128</v>
      </c>
      <c r="C29" s="20">
        <f t="shared" ref="C29" si="56">C28/$B28*100</f>
        <v>34.183673469387756</v>
      </c>
      <c r="D29" s="207">
        <f t="shared" ref="D29" si="57">D28/$B28*100</f>
        <v>66.326530612244895</v>
      </c>
      <c r="E29" s="207">
        <f t="shared" ref="E29" si="58">E28/$B28*100</f>
        <v>9.6938775510204085</v>
      </c>
      <c r="F29" s="207">
        <f t="shared" ref="F29" si="59">F28/$B28*100</f>
        <v>3.5714285714285712</v>
      </c>
      <c r="G29" s="207">
        <f t="shared" ref="G29" si="60">G28/$B28*100</f>
        <v>23.469387755102041</v>
      </c>
      <c r="H29" s="207">
        <f t="shared" ref="H29" si="61">H28/$B28*100</f>
        <v>24.489795918367346</v>
      </c>
      <c r="I29" s="207">
        <f t="shared" ref="I29" si="62">I28/$B28*100</f>
        <v>2.0408163265306123</v>
      </c>
      <c r="J29" s="207">
        <f t="shared" ref="J29" si="63">J28/$B28*100</f>
        <v>27.551020408163261</v>
      </c>
      <c r="K29" s="207">
        <f t="shared" ref="K29" si="64">K28/$B28*100</f>
        <v>4.0816326530612246</v>
      </c>
      <c r="L29" s="207">
        <f t="shared" ref="L29" si="65">L28/$B28*100</f>
        <v>42.857142857142854</v>
      </c>
      <c r="M29" s="207">
        <f t="shared" ref="M29" si="66">M28/$B28*100</f>
        <v>15.306122448979592</v>
      </c>
      <c r="N29" s="207">
        <f t="shared" ref="N29" si="67">N28/$B28*100</f>
        <v>10.204081632653061</v>
      </c>
      <c r="O29" s="207">
        <f t="shared" ref="O29" si="68">O28/$B28*100</f>
        <v>14.795918367346939</v>
      </c>
      <c r="P29" s="207">
        <f t="shared" ref="P29" si="69">P28/$B28*100</f>
        <v>0.51020408163265307</v>
      </c>
      <c r="Q29" s="207">
        <f t="shared" ref="Q29" si="70">Q28/$B28*100</f>
        <v>2.0408163265306123</v>
      </c>
      <c r="R29" s="208"/>
      <c r="S29" s="104"/>
    </row>
    <row r="30" spans="1:20" ht="13.5" customHeight="1" x14ac:dyDescent="0.2">
      <c r="A30" s="269" t="str">
        <f>'問3M（表）'!A30:A31</f>
        <v>40～49歳(n = 281 )　　</v>
      </c>
      <c r="B30" s="34">
        <f>'問3M（表）'!B30</f>
        <v>281</v>
      </c>
      <c r="C30" s="31">
        <v>148</v>
      </c>
      <c r="D30" s="32">
        <v>187</v>
      </c>
      <c r="E30" s="32">
        <v>18</v>
      </c>
      <c r="F30" s="32">
        <v>2</v>
      </c>
      <c r="G30" s="32">
        <v>75</v>
      </c>
      <c r="H30" s="32">
        <v>41</v>
      </c>
      <c r="I30" s="32">
        <v>4</v>
      </c>
      <c r="J30" s="32">
        <v>60</v>
      </c>
      <c r="K30" s="32">
        <v>35</v>
      </c>
      <c r="L30" s="32">
        <v>99</v>
      </c>
      <c r="M30" s="32">
        <v>24</v>
      </c>
      <c r="N30" s="32">
        <v>38</v>
      </c>
      <c r="O30" s="32">
        <v>71</v>
      </c>
      <c r="P30" s="32">
        <v>1</v>
      </c>
      <c r="Q30" s="32">
        <v>1</v>
      </c>
      <c r="R30" s="33"/>
      <c r="S30" s="104">
        <f>SUM($C30:R30)</f>
        <v>804</v>
      </c>
      <c r="T30" t="str">
        <f>" 40～49歳（N = "&amp;$S$30&amp;" : n = "&amp;$B$30&amp;"）"</f>
        <v xml:space="preserve"> 40～49歳（N = 804 : n = 281）</v>
      </c>
    </row>
    <row r="31" spans="1:20" x14ac:dyDescent="0.2">
      <c r="A31" s="270"/>
      <c r="B31" s="20">
        <f>B30/$B$22*100</f>
        <v>17.388613861386137</v>
      </c>
      <c r="C31" s="20">
        <f t="shared" ref="C31" si="71">C30/$B30*100</f>
        <v>52.669039145907469</v>
      </c>
      <c r="D31" s="207">
        <f t="shared" ref="D31" si="72">D30/$B30*100</f>
        <v>66.548042704626326</v>
      </c>
      <c r="E31" s="207">
        <f t="shared" ref="E31" si="73">E30/$B30*100</f>
        <v>6.4056939501779357</v>
      </c>
      <c r="F31" s="207">
        <f t="shared" ref="F31" si="74">F30/$B30*100</f>
        <v>0.71174377224199281</v>
      </c>
      <c r="G31" s="207">
        <f t="shared" ref="G31" si="75">G30/$B30*100</f>
        <v>26.690391459074732</v>
      </c>
      <c r="H31" s="207">
        <f t="shared" ref="H31" si="76">H30/$B30*100</f>
        <v>14.590747330960854</v>
      </c>
      <c r="I31" s="207">
        <f t="shared" ref="I31" si="77">I30/$B30*100</f>
        <v>1.4234875444839856</v>
      </c>
      <c r="J31" s="207">
        <f t="shared" ref="J31" si="78">J30/$B30*100</f>
        <v>21.352313167259787</v>
      </c>
      <c r="K31" s="207">
        <f t="shared" ref="K31" si="79">K30/$B30*100</f>
        <v>12.455516014234876</v>
      </c>
      <c r="L31" s="207">
        <f t="shared" ref="L31" si="80">L30/$B30*100</f>
        <v>35.231316725978644</v>
      </c>
      <c r="M31" s="207">
        <f t="shared" ref="M31" si="81">M30/$B30*100</f>
        <v>8.5409252669039155</v>
      </c>
      <c r="N31" s="207">
        <f t="shared" ref="N31" si="82">N30/$B30*100</f>
        <v>13.523131672597867</v>
      </c>
      <c r="O31" s="207">
        <f t="shared" ref="O31" si="83">O30/$B30*100</f>
        <v>25.266903914590749</v>
      </c>
      <c r="P31" s="207">
        <f t="shared" ref="P31" si="84">P30/$B30*100</f>
        <v>0.35587188612099641</v>
      </c>
      <c r="Q31" s="207">
        <f t="shared" ref="Q31" si="85">Q30/$B30*100</f>
        <v>0.35587188612099641</v>
      </c>
      <c r="R31" s="208"/>
      <c r="S31" s="195"/>
    </row>
    <row r="32" spans="1:20" ht="13.5" customHeight="1" x14ac:dyDescent="0.2">
      <c r="A32" s="269" t="str">
        <f>'問3M（表）'!A32:A33</f>
        <v>50～59歳(n = 320 )　　</v>
      </c>
      <c r="B32" s="34">
        <f>'問3M（表）'!B32</f>
        <v>320</v>
      </c>
      <c r="C32" s="31">
        <v>214</v>
      </c>
      <c r="D32" s="32">
        <v>175</v>
      </c>
      <c r="E32" s="32">
        <v>19</v>
      </c>
      <c r="F32" s="32">
        <v>2</v>
      </c>
      <c r="G32" s="32">
        <v>69</v>
      </c>
      <c r="H32" s="32">
        <v>58</v>
      </c>
      <c r="I32" s="32">
        <v>2</v>
      </c>
      <c r="J32" s="32">
        <v>32</v>
      </c>
      <c r="K32" s="32">
        <v>67</v>
      </c>
      <c r="L32" s="32">
        <v>17</v>
      </c>
      <c r="M32" s="32">
        <v>34</v>
      </c>
      <c r="N32" s="32">
        <v>54</v>
      </c>
      <c r="O32" s="32">
        <v>145</v>
      </c>
      <c r="P32" s="32">
        <v>2</v>
      </c>
      <c r="Q32" s="32">
        <v>6</v>
      </c>
      <c r="R32" s="33"/>
      <c r="S32" s="104">
        <f>SUM($C32:R32)</f>
        <v>896</v>
      </c>
      <c r="T32" t="str">
        <f>" 50～59歳（N = "&amp;$S$32&amp;" : n = "&amp;$B$32&amp;"）"</f>
        <v xml:space="preserve"> 50～59歳（N = 896 : n = 320）</v>
      </c>
    </row>
    <row r="33" spans="1:35" x14ac:dyDescent="0.2">
      <c r="A33" s="270"/>
      <c r="B33" s="20">
        <f>B32/$B$22*100</f>
        <v>19.801980198019802</v>
      </c>
      <c r="C33" s="20">
        <f t="shared" ref="C33" si="86">C32/$B32*100</f>
        <v>66.875</v>
      </c>
      <c r="D33" s="207">
        <f t="shared" ref="D33" si="87">D32/$B32*100</f>
        <v>54.6875</v>
      </c>
      <c r="E33" s="207">
        <f t="shared" ref="E33" si="88">E32/$B32*100</f>
        <v>5.9375</v>
      </c>
      <c r="F33" s="207">
        <f t="shared" ref="F33" si="89">F32/$B32*100</f>
        <v>0.625</v>
      </c>
      <c r="G33" s="207">
        <f t="shared" ref="G33" si="90">G32/$B32*100</f>
        <v>21.5625</v>
      </c>
      <c r="H33" s="207">
        <f t="shared" ref="H33" si="91">H32/$B32*100</f>
        <v>18.125</v>
      </c>
      <c r="I33" s="207">
        <f t="shared" ref="I33" si="92">I32/$B32*100</f>
        <v>0.625</v>
      </c>
      <c r="J33" s="207">
        <f t="shared" ref="J33" si="93">J32/$B32*100</f>
        <v>10</v>
      </c>
      <c r="K33" s="207">
        <f t="shared" ref="K33" si="94">K32/$B32*100</f>
        <v>20.9375</v>
      </c>
      <c r="L33" s="207">
        <f t="shared" ref="L33" si="95">L32/$B32*100</f>
        <v>5.3125</v>
      </c>
      <c r="M33" s="207">
        <f t="shared" ref="M33" si="96">M32/$B32*100</f>
        <v>10.625</v>
      </c>
      <c r="N33" s="207">
        <f t="shared" ref="N33" si="97">N32/$B32*100</f>
        <v>16.875</v>
      </c>
      <c r="O33" s="207">
        <f t="shared" ref="O33" si="98">O32/$B32*100</f>
        <v>45.3125</v>
      </c>
      <c r="P33" s="207">
        <f t="shared" ref="P33" si="99">P32/$B32*100</f>
        <v>0.625</v>
      </c>
      <c r="Q33" s="207">
        <f t="shared" ref="Q33" si="100">Q32/$B32*100</f>
        <v>1.875</v>
      </c>
      <c r="R33" s="208"/>
      <c r="S33" s="195"/>
    </row>
    <row r="34" spans="1:35" ht="13.5" customHeight="1" x14ac:dyDescent="0.2">
      <c r="A34" s="269" t="str">
        <f>'問3M（表）'!A34:A35</f>
        <v>60～69歳(n = 352 )　　</v>
      </c>
      <c r="B34" s="34">
        <f>'問3M（表）'!B34</f>
        <v>352</v>
      </c>
      <c r="C34" s="31">
        <v>286</v>
      </c>
      <c r="D34" s="32">
        <v>186</v>
      </c>
      <c r="E34" s="32">
        <v>22</v>
      </c>
      <c r="F34" s="32">
        <v>1</v>
      </c>
      <c r="G34" s="32">
        <v>43</v>
      </c>
      <c r="H34" s="32">
        <v>57</v>
      </c>
      <c r="I34" s="32">
        <v>15</v>
      </c>
      <c r="J34" s="32">
        <v>30</v>
      </c>
      <c r="K34" s="32">
        <v>52</v>
      </c>
      <c r="L34" s="32">
        <v>3</v>
      </c>
      <c r="M34" s="32">
        <v>22</v>
      </c>
      <c r="N34" s="32">
        <v>44</v>
      </c>
      <c r="O34" s="32">
        <v>223</v>
      </c>
      <c r="P34" s="32">
        <v>3</v>
      </c>
      <c r="Q34" s="32">
        <v>1</v>
      </c>
      <c r="R34" s="33"/>
      <c r="S34" s="104">
        <f>SUM($C34:R34)</f>
        <v>988</v>
      </c>
      <c r="T34" t="str">
        <f>" 60～69歳（N = "&amp;$S$34&amp;" : n = "&amp;$B$34&amp;"）"</f>
        <v xml:space="preserve"> 60～69歳（N = 988 : n = 352）</v>
      </c>
    </row>
    <row r="35" spans="1:35" x14ac:dyDescent="0.2">
      <c r="A35" s="270"/>
      <c r="B35" s="20">
        <f>B34/$B$22*100</f>
        <v>21.782178217821784</v>
      </c>
      <c r="C35" s="20">
        <f t="shared" ref="C35" si="101">C34/$B34*100</f>
        <v>81.25</v>
      </c>
      <c r="D35" s="207">
        <f t="shared" ref="D35" si="102">D34/$B34*100</f>
        <v>52.840909090909093</v>
      </c>
      <c r="E35" s="207">
        <f t="shared" ref="E35" si="103">E34/$B34*100</f>
        <v>6.25</v>
      </c>
      <c r="F35" s="207">
        <f t="shared" ref="F35" si="104">F34/$B34*100</f>
        <v>0.28409090909090912</v>
      </c>
      <c r="G35" s="207">
        <f t="shared" ref="G35" si="105">G34/$B34*100</f>
        <v>12.215909090909092</v>
      </c>
      <c r="H35" s="207">
        <f t="shared" ref="H35" si="106">H34/$B34*100</f>
        <v>16.193181818181817</v>
      </c>
      <c r="I35" s="207">
        <f t="shared" ref="I35" si="107">I34/$B34*100</f>
        <v>4.2613636363636358</v>
      </c>
      <c r="J35" s="207">
        <f t="shared" ref="J35" si="108">J34/$B34*100</f>
        <v>8.5227272727272716</v>
      </c>
      <c r="K35" s="207">
        <f t="shared" ref="K35" si="109">K34/$B34*100</f>
        <v>14.772727272727273</v>
      </c>
      <c r="L35" s="207">
        <f t="shared" ref="L35" si="110">L34/$B34*100</f>
        <v>0.85227272727272718</v>
      </c>
      <c r="M35" s="207">
        <f t="shared" ref="M35" si="111">M34/$B34*100</f>
        <v>6.25</v>
      </c>
      <c r="N35" s="207">
        <f t="shared" ref="N35" si="112">N34/$B34*100</f>
        <v>12.5</v>
      </c>
      <c r="O35" s="207">
        <f t="shared" ref="O35" si="113">O34/$B34*100</f>
        <v>63.352272727272727</v>
      </c>
      <c r="P35" s="207">
        <f t="shared" ref="P35" si="114">P34/$B34*100</f>
        <v>0.85227272727272718</v>
      </c>
      <c r="Q35" s="207">
        <f t="shared" ref="Q35" si="115">Q34/$B34*100</f>
        <v>0.28409090909090912</v>
      </c>
      <c r="R35" s="208"/>
      <c r="S35" s="195"/>
    </row>
    <row r="36" spans="1:35" ht="13.5" customHeight="1" x14ac:dyDescent="0.2">
      <c r="A36" s="269" t="str">
        <f>'問3M（表）'!A36:A37</f>
        <v>70歳以上(n = 315 )　　</v>
      </c>
      <c r="B36" s="34">
        <f>'問3M（表）'!B36</f>
        <v>315</v>
      </c>
      <c r="C36" s="31">
        <v>270</v>
      </c>
      <c r="D36" s="32">
        <v>141</v>
      </c>
      <c r="E36" s="32">
        <v>13</v>
      </c>
      <c r="F36" s="32">
        <v>0</v>
      </c>
      <c r="G36" s="32">
        <v>22</v>
      </c>
      <c r="H36" s="32">
        <v>26</v>
      </c>
      <c r="I36" s="32">
        <v>19</v>
      </c>
      <c r="J36" s="32">
        <v>33</v>
      </c>
      <c r="K36" s="32">
        <v>49</v>
      </c>
      <c r="L36" s="32">
        <v>3</v>
      </c>
      <c r="M36" s="32">
        <v>43</v>
      </c>
      <c r="N36" s="32">
        <v>39</v>
      </c>
      <c r="O36" s="32">
        <v>161</v>
      </c>
      <c r="P36" s="32">
        <v>4</v>
      </c>
      <c r="Q36" s="32">
        <v>6</v>
      </c>
      <c r="R36" s="33"/>
      <c r="S36" s="104">
        <f>SUM($C36:R36)</f>
        <v>829</v>
      </c>
      <c r="T36" t="str">
        <f>" 70歳以上（N = "&amp;$S$36&amp;" : n = "&amp;$B$36&amp;"）"</f>
        <v xml:space="preserve"> 70歳以上（N = 829 : n = 315）</v>
      </c>
    </row>
    <row r="37" spans="1:35" x14ac:dyDescent="0.2">
      <c r="A37" s="270"/>
      <c r="B37" s="20">
        <f>B36/$B$22*100</f>
        <v>19.492574257425744</v>
      </c>
      <c r="C37" s="20">
        <f t="shared" ref="C37" si="116">C36/$B36*100</f>
        <v>85.714285714285708</v>
      </c>
      <c r="D37" s="207">
        <f t="shared" ref="D37" si="117">D36/$B36*100</f>
        <v>44.761904761904766</v>
      </c>
      <c r="E37" s="207">
        <f t="shared" ref="E37" si="118">E36/$B36*100</f>
        <v>4.1269841269841265</v>
      </c>
      <c r="F37" s="207">
        <f t="shared" ref="F37" si="119">F36/$B36*100</f>
        <v>0</v>
      </c>
      <c r="G37" s="207">
        <f t="shared" ref="G37" si="120">G36/$B36*100</f>
        <v>6.9841269841269842</v>
      </c>
      <c r="H37" s="207">
        <f t="shared" ref="H37" si="121">H36/$B36*100</f>
        <v>8.2539682539682531</v>
      </c>
      <c r="I37" s="207">
        <f t="shared" ref="I37" si="122">I36/$B36*100</f>
        <v>6.0317460317460316</v>
      </c>
      <c r="J37" s="207">
        <f t="shared" ref="J37" si="123">J36/$B36*100</f>
        <v>10.476190476190476</v>
      </c>
      <c r="K37" s="207">
        <f t="shared" ref="K37" si="124">K36/$B36*100</f>
        <v>15.555555555555555</v>
      </c>
      <c r="L37" s="207">
        <f t="shared" ref="L37" si="125">L36/$B36*100</f>
        <v>0.95238095238095244</v>
      </c>
      <c r="M37" s="207">
        <f t="shared" ref="M37" si="126">M36/$B36*100</f>
        <v>13.65079365079365</v>
      </c>
      <c r="N37" s="207">
        <f t="shared" ref="N37" si="127">N36/$B36*100</f>
        <v>12.380952380952381</v>
      </c>
      <c r="O37" s="207">
        <f t="shared" ref="O37" si="128">O36/$B36*100</f>
        <v>51.111111111111107</v>
      </c>
      <c r="P37" s="207">
        <f t="shared" ref="P37" si="129">P36/$B36*100</f>
        <v>1.2698412698412698</v>
      </c>
      <c r="Q37" s="207">
        <f t="shared" ref="Q37" si="130">Q36/$B36*100</f>
        <v>1.9047619047619049</v>
      </c>
      <c r="R37" s="208"/>
      <c r="S37" s="195"/>
    </row>
    <row r="38" spans="1:35" s="186" customFormat="1" x14ac:dyDescent="0.2">
      <c r="A38" s="184"/>
      <c r="B38" s="182"/>
      <c r="C38" s="172">
        <f>_xlfn.RANK.EQ(C23,$C$23:$R$23,0)</f>
        <v>1</v>
      </c>
      <c r="D38" s="172">
        <f t="shared" ref="D38:R38" si="131">_xlfn.RANK.EQ(D23,$C$23:$R$23,0)</f>
        <v>2</v>
      </c>
      <c r="E38" s="172">
        <f t="shared" si="131"/>
        <v>11</v>
      </c>
      <c r="F38" s="172">
        <f t="shared" si="131"/>
        <v>13</v>
      </c>
      <c r="G38" s="172">
        <f t="shared" si="131"/>
        <v>4</v>
      </c>
      <c r="H38" s="172">
        <f t="shared" si="131"/>
        <v>5</v>
      </c>
      <c r="I38" s="172">
        <f t="shared" si="131"/>
        <v>12</v>
      </c>
      <c r="J38" s="172">
        <f t="shared" si="131"/>
        <v>6</v>
      </c>
      <c r="K38" s="172">
        <f t="shared" si="131"/>
        <v>8</v>
      </c>
      <c r="L38" s="172">
        <f t="shared" si="131"/>
        <v>7</v>
      </c>
      <c r="M38" s="172">
        <f t="shared" si="131"/>
        <v>10</v>
      </c>
      <c r="N38" s="172">
        <f t="shared" si="131"/>
        <v>9</v>
      </c>
      <c r="O38" s="172">
        <f t="shared" si="131"/>
        <v>3</v>
      </c>
      <c r="P38" s="172">
        <f t="shared" si="131"/>
        <v>15</v>
      </c>
      <c r="Q38" s="172">
        <f t="shared" si="131"/>
        <v>13</v>
      </c>
      <c r="R38" s="172" t="e">
        <f t="shared" si="131"/>
        <v>#N/A</v>
      </c>
      <c r="S38" s="185"/>
    </row>
    <row r="39" spans="1:35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5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Q40" s="27">
        <v>15</v>
      </c>
      <c r="R40" s="27">
        <v>16</v>
      </c>
      <c r="T40" s="45"/>
      <c r="U40" s="27">
        <v>1</v>
      </c>
      <c r="V40" s="27">
        <v>2</v>
      </c>
      <c r="W40" s="27">
        <v>3</v>
      </c>
      <c r="X40" s="27">
        <v>4</v>
      </c>
      <c r="Y40" s="27">
        <v>5</v>
      </c>
      <c r="Z40" s="27">
        <v>6</v>
      </c>
      <c r="AA40" s="27">
        <v>7</v>
      </c>
      <c r="AB40" s="27">
        <v>8</v>
      </c>
      <c r="AC40" s="27">
        <v>9</v>
      </c>
      <c r="AD40" s="27">
        <v>10</v>
      </c>
      <c r="AE40" s="27">
        <v>11</v>
      </c>
      <c r="AF40" s="27">
        <v>12</v>
      </c>
      <c r="AG40" s="27">
        <v>13</v>
      </c>
      <c r="AH40" s="27">
        <v>14</v>
      </c>
      <c r="AI40" s="27">
        <v>15</v>
      </c>
    </row>
    <row r="41" spans="1:35" ht="32.4" x14ac:dyDescent="0.2">
      <c r="A41" s="12" t="str">
        <f>A21</f>
        <v>【年代別】</v>
      </c>
      <c r="B41" s="59" t="s">
        <v>157</v>
      </c>
      <c r="C41" s="60" t="s">
        <v>208</v>
      </c>
      <c r="D41" s="61" t="s">
        <v>209</v>
      </c>
      <c r="E41" s="61" t="s">
        <v>74</v>
      </c>
      <c r="F41" s="61" t="s">
        <v>210</v>
      </c>
      <c r="G41" s="61" t="s">
        <v>176</v>
      </c>
      <c r="H41" s="61" t="s">
        <v>70</v>
      </c>
      <c r="I41" s="62" t="s">
        <v>52</v>
      </c>
      <c r="J41" s="61" t="s">
        <v>71</v>
      </c>
      <c r="K41" s="61" t="s">
        <v>211</v>
      </c>
      <c r="L41" s="61" t="s">
        <v>73</v>
      </c>
      <c r="M41" s="61" t="s">
        <v>212</v>
      </c>
      <c r="N41" s="62" t="s">
        <v>213</v>
      </c>
      <c r="O41" s="62" t="s">
        <v>214</v>
      </c>
      <c r="P41" s="62" t="s">
        <v>57</v>
      </c>
      <c r="Q41" s="62" t="s">
        <v>75</v>
      </c>
      <c r="R41" s="63"/>
      <c r="S41" s="44" t="s">
        <v>32</v>
      </c>
      <c r="T41" s="12" t="str">
        <f>A41</f>
        <v>【年代別】</v>
      </c>
      <c r="U41" s="60" t="str">
        <f>C41</f>
        <v>健康・体力づくり</v>
      </c>
      <c r="V41" s="61" t="str">
        <f t="shared" ref="V41" si="132">D41</f>
        <v>家計の安定・充実</v>
      </c>
      <c r="W41" s="61" t="str">
        <f t="shared" ref="W41" si="133">E41</f>
        <v>老後の生活への準備</v>
      </c>
      <c r="X41" s="61" t="str">
        <f t="shared" ref="X41" si="134">F41</f>
        <v>仕事（家業・学業を含む）</v>
      </c>
      <c r="Y41" s="61" t="str">
        <f t="shared" ref="Y41" si="135">G41</f>
        <v>趣味・レジャー</v>
      </c>
      <c r="Z41" s="61" t="str">
        <f t="shared" ref="Z41" si="136">H41</f>
        <v>家族との団らん</v>
      </c>
      <c r="AA41" s="61" t="str">
        <f t="shared" ref="AA41" si="137">I41</f>
        <v>子育て・子どもの教育</v>
      </c>
      <c r="AB41" s="62" t="str">
        <f t="shared" ref="AB41" si="138">J41</f>
        <v>家族の介護</v>
      </c>
      <c r="AC41" s="106" t="str">
        <f t="shared" ref="AC41" si="139">K41</f>
        <v>住まいの改善・充実</v>
      </c>
      <c r="AD41" s="61" t="str">
        <f t="shared" ref="AD41" si="140">L41</f>
        <v>衣・食生活の充実</v>
      </c>
      <c r="AE41" s="61" t="str">
        <f t="shared" ref="AE41" si="141">M41</f>
        <v>知識や教養の向上</v>
      </c>
      <c r="AF41" s="62" t="str">
        <f t="shared" ref="AF41" si="142">N41</f>
        <v>ボランティアや地域活動</v>
      </c>
      <c r="AG41" s="62" t="str">
        <f t="shared" ref="AG41" si="143">O41</f>
        <v>社会的地位の向上</v>
      </c>
      <c r="AH41" s="62" t="str">
        <f>P41</f>
        <v>その他</v>
      </c>
      <c r="AI41" s="63" t="str">
        <f t="shared" ref="AI41" si="144">Q41</f>
        <v>特にない</v>
      </c>
    </row>
    <row r="42" spans="1:35" ht="12.75" customHeight="1" x14ac:dyDescent="0.2">
      <c r="A42" s="269" t="str">
        <f>A22</f>
        <v>全体(n = 1,616 )　　</v>
      </c>
      <c r="B42" s="113">
        <f>B22</f>
        <v>1616</v>
      </c>
      <c r="C42" s="121">
        <v>1033</v>
      </c>
      <c r="D42" s="122">
        <v>901</v>
      </c>
      <c r="E42" s="122">
        <v>642</v>
      </c>
      <c r="F42" s="122">
        <v>307</v>
      </c>
      <c r="G42" s="122">
        <v>286</v>
      </c>
      <c r="H42" s="122">
        <v>236</v>
      </c>
      <c r="I42" s="123">
        <v>224</v>
      </c>
      <c r="J42" s="122">
        <v>215</v>
      </c>
      <c r="K42" s="122">
        <v>206</v>
      </c>
      <c r="L42" s="122">
        <v>186</v>
      </c>
      <c r="M42" s="122">
        <v>121</v>
      </c>
      <c r="N42" s="123">
        <v>46</v>
      </c>
      <c r="O42" s="123">
        <v>19</v>
      </c>
      <c r="P42" s="123">
        <v>11</v>
      </c>
      <c r="Q42" s="123">
        <v>19</v>
      </c>
      <c r="R42" s="124"/>
      <c r="T42" s="93" t="str">
        <f>A44</f>
        <v>18～19歳(n = 21 )　　</v>
      </c>
      <c r="U42" s="176">
        <f>C45</f>
        <v>28.571428571428569</v>
      </c>
      <c r="V42" s="85">
        <f t="shared" ref="V42:AI42" si="145">D45</f>
        <v>33.333333333333329</v>
      </c>
      <c r="W42" s="85">
        <f t="shared" si="145"/>
        <v>9.5238095238095237</v>
      </c>
      <c r="X42" s="85">
        <f t="shared" si="145"/>
        <v>57.142857142857139</v>
      </c>
      <c r="Y42" s="85">
        <f t="shared" si="145"/>
        <v>57.142857142857139</v>
      </c>
      <c r="Z42" s="85">
        <f t="shared" si="145"/>
        <v>19.047619047619047</v>
      </c>
      <c r="AA42" s="85">
        <f t="shared" si="145"/>
        <v>0</v>
      </c>
      <c r="AB42" s="86">
        <f t="shared" si="145"/>
        <v>4.7619047619047619</v>
      </c>
      <c r="AC42" s="108">
        <f t="shared" si="145"/>
        <v>4.7619047619047619</v>
      </c>
      <c r="AD42" s="85">
        <f t="shared" si="145"/>
        <v>19.047619047619047</v>
      </c>
      <c r="AE42" s="85">
        <f t="shared" si="145"/>
        <v>33.333333333333329</v>
      </c>
      <c r="AF42" s="86">
        <f t="shared" si="145"/>
        <v>4.7619047619047619</v>
      </c>
      <c r="AG42" s="86">
        <f t="shared" si="145"/>
        <v>0</v>
      </c>
      <c r="AH42" s="86">
        <f t="shared" si="145"/>
        <v>0</v>
      </c>
      <c r="AI42" s="87">
        <f t="shared" si="145"/>
        <v>0</v>
      </c>
    </row>
    <row r="43" spans="1:35" ht="12.75" customHeight="1" x14ac:dyDescent="0.2">
      <c r="A43" s="270"/>
      <c r="B43" s="114">
        <f>B23</f>
        <v>100</v>
      </c>
      <c r="C43" s="125">
        <v>63.92326732673267</v>
      </c>
      <c r="D43" s="126">
        <v>55.754950495049506</v>
      </c>
      <c r="E43" s="126">
        <v>39.727722772277232</v>
      </c>
      <c r="F43" s="126">
        <v>18.997524752475247</v>
      </c>
      <c r="G43" s="126">
        <v>17.698019801980198</v>
      </c>
      <c r="H43" s="126">
        <v>14.603960396039604</v>
      </c>
      <c r="I43" s="127">
        <v>13.861386138613863</v>
      </c>
      <c r="J43" s="126">
        <v>13.304455445544555</v>
      </c>
      <c r="K43" s="126">
        <v>12.747524752475247</v>
      </c>
      <c r="L43" s="126">
        <v>11.509900990099011</v>
      </c>
      <c r="M43" s="126">
        <v>7.4876237623762369</v>
      </c>
      <c r="N43" s="127">
        <v>2.8465346534653468</v>
      </c>
      <c r="O43" s="127">
        <v>1.1757425742574257</v>
      </c>
      <c r="P43" s="127">
        <v>0.68069306930693074</v>
      </c>
      <c r="Q43" s="127">
        <v>1.1757425742574257</v>
      </c>
      <c r="R43" s="128"/>
      <c r="T43" s="174" t="str">
        <f>A46</f>
        <v>20～29歳(n = 119 )　　</v>
      </c>
      <c r="U43" s="88">
        <f>C47</f>
        <v>35.294117647058826</v>
      </c>
      <c r="V43" s="75">
        <f t="shared" ref="V43:AI43" si="146">D47</f>
        <v>63.02521008403361</v>
      </c>
      <c r="W43" s="75">
        <f t="shared" si="146"/>
        <v>9.2436974789915975</v>
      </c>
      <c r="X43" s="75">
        <f t="shared" si="146"/>
        <v>33.613445378151262</v>
      </c>
      <c r="Y43" s="75">
        <f t="shared" si="146"/>
        <v>36.97478991596639</v>
      </c>
      <c r="Z43" s="75">
        <f t="shared" si="146"/>
        <v>19.327731092436977</v>
      </c>
      <c r="AA43" s="75">
        <f t="shared" si="146"/>
        <v>15.126050420168067</v>
      </c>
      <c r="AB43" s="76">
        <f t="shared" si="146"/>
        <v>2.5210084033613445</v>
      </c>
      <c r="AC43" s="175">
        <f t="shared" si="146"/>
        <v>8.4033613445378155</v>
      </c>
      <c r="AD43" s="75">
        <f t="shared" si="146"/>
        <v>24.369747899159663</v>
      </c>
      <c r="AE43" s="75">
        <f t="shared" si="146"/>
        <v>19.327731092436977</v>
      </c>
      <c r="AF43" s="76">
        <f t="shared" si="146"/>
        <v>0.84033613445378152</v>
      </c>
      <c r="AG43" s="76">
        <f t="shared" si="146"/>
        <v>5.8823529411764701</v>
      </c>
      <c r="AH43" s="76">
        <f t="shared" si="146"/>
        <v>0</v>
      </c>
      <c r="AI43" s="77">
        <f t="shared" si="146"/>
        <v>0.84033613445378152</v>
      </c>
    </row>
    <row r="44" spans="1:35" ht="12.75" customHeight="1" x14ac:dyDescent="0.2">
      <c r="A44" s="269" t="str">
        <f>A24</f>
        <v>18～19歳(n = 21 )　　</v>
      </c>
      <c r="B44" s="113">
        <f t="shared" ref="B44:B57" si="147">B24</f>
        <v>21</v>
      </c>
      <c r="C44" s="129">
        <v>6</v>
      </c>
      <c r="D44" s="130">
        <v>7</v>
      </c>
      <c r="E44" s="130">
        <v>2</v>
      </c>
      <c r="F44" s="130">
        <v>12</v>
      </c>
      <c r="G44" s="130">
        <v>12</v>
      </c>
      <c r="H44" s="130">
        <v>4</v>
      </c>
      <c r="I44" s="140">
        <v>0</v>
      </c>
      <c r="J44" s="130">
        <v>1</v>
      </c>
      <c r="K44" s="130">
        <v>1</v>
      </c>
      <c r="L44" s="130">
        <v>4</v>
      </c>
      <c r="M44" s="130">
        <v>7</v>
      </c>
      <c r="N44" s="130">
        <v>1</v>
      </c>
      <c r="O44" s="140">
        <v>0</v>
      </c>
      <c r="P44" s="140">
        <v>0</v>
      </c>
      <c r="Q44" s="140">
        <v>0</v>
      </c>
      <c r="R44" s="131"/>
      <c r="S44" s="166">
        <f>SUM(C44:R44)</f>
        <v>57</v>
      </c>
      <c r="T44" s="95" t="str">
        <f>A48</f>
        <v>30～39歳(n = 196 )　　</v>
      </c>
      <c r="U44" s="88">
        <f>C49</f>
        <v>34.183673469387756</v>
      </c>
      <c r="V44" s="89">
        <f t="shared" ref="V44:AI44" si="148">D49</f>
        <v>66.326530612244895</v>
      </c>
      <c r="W44" s="89">
        <f t="shared" si="148"/>
        <v>14.795918367346939</v>
      </c>
      <c r="X44" s="89">
        <f t="shared" si="148"/>
        <v>23.469387755102041</v>
      </c>
      <c r="Y44" s="89">
        <f t="shared" si="148"/>
        <v>24.489795918367346</v>
      </c>
      <c r="Z44" s="89">
        <f t="shared" si="148"/>
        <v>27.551020408163261</v>
      </c>
      <c r="AA44" s="89">
        <f t="shared" si="148"/>
        <v>42.857142857142854</v>
      </c>
      <c r="AB44" s="90">
        <f t="shared" si="148"/>
        <v>4.0816326530612246</v>
      </c>
      <c r="AC44" s="109">
        <f t="shared" si="148"/>
        <v>10.204081632653061</v>
      </c>
      <c r="AD44" s="89">
        <f t="shared" si="148"/>
        <v>15.306122448979592</v>
      </c>
      <c r="AE44" s="89">
        <f t="shared" si="148"/>
        <v>9.6938775510204085</v>
      </c>
      <c r="AF44" s="90">
        <f t="shared" si="148"/>
        <v>2.0408163265306123</v>
      </c>
      <c r="AG44" s="90">
        <f t="shared" si="148"/>
        <v>3.5714285714285712</v>
      </c>
      <c r="AH44" s="90">
        <f t="shared" si="148"/>
        <v>0.51020408163265307</v>
      </c>
      <c r="AI44" s="91">
        <f t="shared" si="148"/>
        <v>2.0408163265306123</v>
      </c>
    </row>
    <row r="45" spans="1:35" ht="12.75" customHeight="1" x14ac:dyDescent="0.2">
      <c r="A45" s="270"/>
      <c r="B45" s="114">
        <f t="shared" si="147"/>
        <v>1.2995049504950495</v>
      </c>
      <c r="C45" s="125">
        <v>28.571428571428569</v>
      </c>
      <c r="D45" s="126">
        <v>33.333333333333329</v>
      </c>
      <c r="E45" s="126">
        <v>9.5238095238095237</v>
      </c>
      <c r="F45" s="126">
        <v>57.142857142857139</v>
      </c>
      <c r="G45" s="126">
        <v>57.142857142857139</v>
      </c>
      <c r="H45" s="126">
        <v>19.047619047619047</v>
      </c>
      <c r="I45" s="127">
        <v>0</v>
      </c>
      <c r="J45" s="126">
        <v>4.7619047619047619</v>
      </c>
      <c r="K45" s="126">
        <v>4.7619047619047619</v>
      </c>
      <c r="L45" s="126">
        <v>19.047619047619047</v>
      </c>
      <c r="M45" s="126">
        <v>33.333333333333329</v>
      </c>
      <c r="N45" s="126">
        <v>4.7619047619047619</v>
      </c>
      <c r="O45" s="127">
        <v>0</v>
      </c>
      <c r="P45" s="127">
        <v>0</v>
      </c>
      <c r="Q45" s="127">
        <v>0</v>
      </c>
      <c r="R45" s="128"/>
      <c r="T45" s="95" t="str">
        <f>A50</f>
        <v>40～49歳(n = 281 )　　</v>
      </c>
      <c r="U45" s="88">
        <f>C51</f>
        <v>52.669039145907469</v>
      </c>
      <c r="V45" s="89">
        <f t="shared" ref="V45:AI45" si="149">D51</f>
        <v>66.548042704626326</v>
      </c>
      <c r="W45" s="89">
        <f t="shared" si="149"/>
        <v>25.266903914590749</v>
      </c>
      <c r="X45" s="89">
        <f t="shared" si="149"/>
        <v>26.690391459074732</v>
      </c>
      <c r="Y45" s="89">
        <f t="shared" si="149"/>
        <v>14.590747330960854</v>
      </c>
      <c r="Z45" s="89">
        <f t="shared" si="149"/>
        <v>21.352313167259787</v>
      </c>
      <c r="AA45" s="89">
        <f t="shared" si="149"/>
        <v>35.231316725978644</v>
      </c>
      <c r="AB45" s="90">
        <f t="shared" si="149"/>
        <v>12.455516014234876</v>
      </c>
      <c r="AC45" s="109">
        <f t="shared" si="149"/>
        <v>13.523131672597867</v>
      </c>
      <c r="AD45" s="89">
        <f t="shared" si="149"/>
        <v>8.5409252669039155</v>
      </c>
      <c r="AE45" s="89">
        <f t="shared" si="149"/>
        <v>6.4056939501779357</v>
      </c>
      <c r="AF45" s="90">
        <f t="shared" si="149"/>
        <v>1.4234875444839856</v>
      </c>
      <c r="AG45" s="90">
        <f t="shared" si="149"/>
        <v>0.71174377224199281</v>
      </c>
      <c r="AH45" s="90">
        <f t="shared" si="149"/>
        <v>0.35587188612099641</v>
      </c>
      <c r="AI45" s="91">
        <f t="shared" si="149"/>
        <v>0.35587188612099641</v>
      </c>
    </row>
    <row r="46" spans="1:35" ht="12.75" customHeight="1" x14ac:dyDescent="0.2">
      <c r="A46" s="269" t="str">
        <f>A26</f>
        <v>20～29歳(n = 119 )　　</v>
      </c>
      <c r="B46" s="113">
        <f t="shared" si="147"/>
        <v>119</v>
      </c>
      <c r="C46" s="129">
        <v>42</v>
      </c>
      <c r="D46" s="130">
        <v>75</v>
      </c>
      <c r="E46" s="130">
        <v>11</v>
      </c>
      <c r="F46" s="130">
        <v>40</v>
      </c>
      <c r="G46" s="130">
        <v>44</v>
      </c>
      <c r="H46" s="130">
        <v>23</v>
      </c>
      <c r="I46" s="140">
        <v>18</v>
      </c>
      <c r="J46" s="130">
        <v>3</v>
      </c>
      <c r="K46" s="130">
        <v>10</v>
      </c>
      <c r="L46" s="130">
        <v>29</v>
      </c>
      <c r="M46" s="130">
        <v>23</v>
      </c>
      <c r="N46" s="130">
        <v>1</v>
      </c>
      <c r="O46" s="140">
        <v>7</v>
      </c>
      <c r="P46" s="140">
        <v>0</v>
      </c>
      <c r="Q46" s="140">
        <v>1</v>
      </c>
      <c r="R46" s="131"/>
      <c r="T46" s="95" t="str">
        <f>A52</f>
        <v>50～59歳(n = 320 )　　</v>
      </c>
      <c r="U46" s="88">
        <f>C53</f>
        <v>66.875</v>
      </c>
      <c r="V46" s="89">
        <f t="shared" ref="V46:AI46" si="150">D53</f>
        <v>54.6875</v>
      </c>
      <c r="W46" s="89">
        <f t="shared" si="150"/>
        <v>45.3125</v>
      </c>
      <c r="X46" s="89">
        <f t="shared" si="150"/>
        <v>21.5625</v>
      </c>
      <c r="Y46" s="89">
        <f t="shared" si="150"/>
        <v>18.125</v>
      </c>
      <c r="Z46" s="89">
        <f t="shared" si="150"/>
        <v>10</v>
      </c>
      <c r="AA46" s="89">
        <f t="shared" si="150"/>
        <v>5.3125</v>
      </c>
      <c r="AB46" s="90">
        <f t="shared" si="150"/>
        <v>20.9375</v>
      </c>
      <c r="AC46" s="109">
        <f t="shared" si="150"/>
        <v>16.875</v>
      </c>
      <c r="AD46" s="89">
        <f t="shared" si="150"/>
        <v>10.625</v>
      </c>
      <c r="AE46" s="89">
        <f t="shared" si="150"/>
        <v>5.9375</v>
      </c>
      <c r="AF46" s="90">
        <f t="shared" si="150"/>
        <v>0.625</v>
      </c>
      <c r="AG46" s="90">
        <f t="shared" si="150"/>
        <v>0.625</v>
      </c>
      <c r="AH46" s="90">
        <f t="shared" si="150"/>
        <v>0.625</v>
      </c>
      <c r="AI46" s="91">
        <f t="shared" si="150"/>
        <v>1.875</v>
      </c>
    </row>
    <row r="47" spans="1:35" ht="12.75" customHeight="1" x14ac:dyDescent="0.2">
      <c r="A47" s="270"/>
      <c r="B47" s="114">
        <f t="shared" si="147"/>
        <v>7.3638613861386135</v>
      </c>
      <c r="C47" s="125">
        <v>35.294117647058826</v>
      </c>
      <c r="D47" s="126">
        <v>63.02521008403361</v>
      </c>
      <c r="E47" s="126">
        <v>9.2436974789915975</v>
      </c>
      <c r="F47" s="126">
        <v>33.613445378151262</v>
      </c>
      <c r="G47" s="126">
        <v>36.97478991596639</v>
      </c>
      <c r="H47" s="126">
        <v>19.327731092436977</v>
      </c>
      <c r="I47" s="127">
        <v>15.126050420168067</v>
      </c>
      <c r="J47" s="126">
        <v>2.5210084033613445</v>
      </c>
      <c r="K47" s="126">
        <v>8.4033613445378155</v>
      </c>
      <c r="L47" s="126">
        <v>24.369747899159663</v>
      </c>
      <c r="M47" s="126">
        <v>19.327731092436977</v>
      </c>
      <c r="N47" s="126">
        <v>0.84033613445378152</v>
      </c>
      <c r="O47" s="127">
        <v>5.8823529411764701</v>
      </c>
      <c r="P47" s="127">
        <v>0</v>
      </c>
      <c r="Q47" s="127">
        <v>0.84033613445378152</v>
      </c>
      <c r="R47" s="128"/>
      <c r="T47" s="96" t="str">
        <f>A54</f>
        <v>60～69歳(n = 352 )　　</v>
      </c>
      <c r="U47" s="97">
        <f>C55</f>
        <v>81.25</v>
      </c>
      <c r="V47" s="98">
        <f t="shared" ref="V47:AI47" si="151">D55</f>
        <v>52.840909090909093</v>
      </c>
      <c r="W47" s="98">
        <f t="shared" si="151"/>
        <v>63.352272727272727</v>
      </c>
      <c r="X47" s="98">
        <f t="shared" si="151"/>
        <v>12.215909090909092</v>
      </c>
      <c r="Y47" s="98">
        <f t="shared" si="151"/>
        <v>16.193181818181817</v>
      </c>
      <c r="Z47" s="98">
        <f t="shared" si="151"/>
        <v>8.5227272727272716</v>
      </c>
      <c r="AA47" s="98">
        <f t="shared" si="151"/>
        <v>0.85227272727272718</v>
      </c>
      <c r="AB47" s="110">
        <f t="shared" si="151"/>
        <v>14.772727272727273</v>
      </c>
      <c r="AC47" s="111">
        <f t="shared" si="151"/>
        <v>12.5</v>
      </c>
      <c r="AD47" s="98">
        <f t="shared" si="151"/>
        <v>6.25</v>
      </c>
      <c r="AE47" s="98">
        <f t="shared" si="151"/>
        <v>6.25</v>
      </c>
      <c r="AF47" s="110">
        <f t="shared" si="151"/>
        <v>4.2613636363636358</v>
      </c>
      <c r="AG47" s="110">
        <f t="shared" si="151"/>
        <v>0.28409090909090912</v>
      </c>
      <c r="AH47" s="110">
        <f t="shared" si="151"/>
        <v>0.85227272727272718</v>
      </c>
      <c r="AI47" s="99">
        <f t="shared" si="151"/>
        <v>0.28409090909090912</v>
      </c>
    </row>
    <row r="48" spans="1:35" ht="13.5" customHeight="1" x14ac:dyDescent="0.2">
      <c r="A48" s="269" t="str">
        <f>A28</f>
        <v>30～39歳(n = 196 )　　</v>
      </c>
      <c r="B48" s="113">
        <f t="shared" si="147"/>
        <v>196</v>
      </c>
      <c r="C48" s="129">
        <v>67</v>
      </c>
      <c r="D48" s="130">
        <v>130</v>
      </c>
      <c r="E48" s="130">
        <v>29</v>
      </c>
      <c r="F48" s="130">
        <v>46</v>
      </c>
      <c r="G48" s="130">
        <v>48</v>
      </c>
      <c r="H48" s="130">
        <v>54</v>
      </c>
      <c r="I48" s="140">
        <v>84</v>
      </c>
      <c r="J48" s="130">
        <v>8</v>
      </c>
      <c r="K48" s="130">
        <v>20</v>
      </c>
      <c r="L48" s="130">
        <v>30</v>
      </c>
      <c r="M48" s="130">
        <v>19</v>
      </c>
      <c r="N48" s="130">
        <v>4</v>
      </c>
      <c r="O48" s="140">
        <v>7</v>
      </c>
      <c r="P48" s="140">
        <v>1</v>
      </c>
      <c r="Q48" s="140">
        <v>4</v>
      </c>
      <c r="R48" s="131"/>
      <c r="T48" s="94" t="str">
        <f>A56</f>
        <v>70歳以上(n = 315 )　　</v>
      </c>
      <c r="U48" s="78">
        <f>C57</f>
        <v>85.714285714285708</v>
      </c>
      <c r="V48" s="79">
        <f t="shared" ref="V48:AI48" si="152">D57</f>
        <v>44.761904761904766</v>
      </c>
      <c r="W48" s="79">
        <f t="shared" si="152"/>
        <v>51.111111111111107</v>
      </c>
      <c r="X48" s="79">
        <f t="shared" si="152"/>
        <v>6.9841269841269842</v>
      </c>
      <c r="Y48" s="79">
        <f t="shared" si="152"/>
        <v>8.2539682539682531</v>
      </c>
      <c r="Z48" s="79">
        <f t="shared" si="152"/>
        <v>10.476190476190476</v>
      </c>
      <c r="AA48" s="79">
        <f t="shared" si="152"/>
        <v>0.95238095238095244</v>
      </c>
      <c r="AB48" s="80">
        <f t="shared" si="152"/>
        <v>15.555555555555555</v>
      </c>
      <c r="AC48" s="107">
        <f t="shared" si="152"/>
        <v>12.380952380952381</v>
      </c>
      <c r="AD48" s="79">
        <f t="shared" si="152"/>
        <v>13.65079365079365</v>
      </c>
      <c r="AE48" s="79">
        <f t="shared" si="152"/>
        <v>4.1269841269841265</v>
      </c>
      <c r="AF48" s="80">
        <f t="shared" si="152"/>
        <v>6.0317460317460316</v>
      </c>
      <c r="AG48" s="80">
        <f t="shared" si="152"/>
        <v>0</v>
      </c>
      <c r="AH48" s="80">
        <f t="shared" si="152"/>
        <v>1.2698412698412698</v>
      </c>
      <c r="AI48" s="81">
        <f t="shared" si="152"/>
        <v>1.9047619047619049</v>
      </c>
    </row>
    <row r="49" spans="1:20" x14ac:dyDescent="0.2">
      <c r="A49" s="270"/>
      <c r="B49" s="114">
        <f t="shared" si="147"/>
        <v>12.128712871287128</v>
      </c>
      <c r="C49" s="125">
        <v>34.183673469387756</v>
      </c>
      <c r="D49" s="126">
        <v>66.326530612244895</v>
      </c>
      <c r="E49" s="126">
        <v>14.795918367346939</v>
      </c>
      <c r="F49" s="126">
        <v>23.469387755102041</v>
      </c>
      <c r="G49" s="126">
        <v>24.489795918367346</v>
      </c>
      <c r="H49" s="126">
        <v>27.551020408163261</v>
      </c>
      <c r="I49" s="127">
        <v>42.857142857142854</v>
      </c>
      <c r="J49" s="126">
        <v>4.0816326530612246</v>
      </c>
      <c r="K49" s="126">
        <v>10.204081632653061</v>
      </c>
      <c r="L49" s="126">
        <v>15.306122448979592</v>
      </c>
      <c r="M49" s="126">
        <v>9.6938775510204085</v>
      </c>
      <c r="N49" s="126">
        <v>2.0408163265306123</v>
      </c>
      <c r="O49" s="127">
        <v>3.5714285714285712</v>
      </c>
      <c r="P49" s="127">
        <v>0.51020408163265307</v>
      </c>
      <c r="Q49" s="127">
        <v>2.0408163265306123</v>
      </c>
      <c r="R49" s="128"/>
    </row>
    <row r="50" spans="1:20" x14ac:dyDescent="0.2">
      <c r="A50" s="269" t="str">
        <f>A30</f>
        <v>40～49歳(n = 281 )　　</v>
      </c>
      <c r="B50" s="113">
        <f t="shared" si="147"/>
        <v>281</v>
      </c>
      <c r="C50" s="129">
        <v>148</v>
      </c>
      <c r="D50" s="130">
        <v>187</v>
      </c>
      <c r="E50" s="130">
        <v>71</v>
      </c>
      <c r="F50" s="130">
        <v>75</v>
      </c>
      <c r="G50" s="130">
        <v>41</v>
      </c>
      <c r="H50" s="130">
        <v>60</v>
      </c>
      <c r="I50" s="140">
        <v>99</v>
      </c>
      <c r="J50" s="130">
        <v>35</v>
      </c>
      <c r="K50" s="130">
        <v>38</v>
      </c>
      <c r="L50" s="130">
        <v>24</v>
      </c>
      <c r="M50" s="130">
        <v>18</v>
      </c>
      <c r="N50" s="130">
        <v>4</v>
      </c>
      <c r="O50" s="140">
        <v>2</v>
      </c>
      <c r="P50" s="140">
        <v>1</v>
      </c>
      <c r="Q50" s="140">
        <v>1</v>
      </c>
      <c r="R50" s="131"/>
    </row>
    <row r="51" spans="1:20" x14ac:dyDescent="0.2">
      <c r="A51" s="270"/>
      <c r="B51" s="114">
        <f t="shared" si="147"/>
        <v>17.388613861386137</v>
      </c>
      <c r="C51" s="125">
        <v>52.669039145907469</v>
      </c>
      <c r="D51" s="126">
        <v>66.548042704626326</v>
      </c>
      <c r="E51" s="126">
        <v>25.266903914590749</v>
      </c>
      <c r="F51" s="126">
        <v>26.690391459074732</v>
      </c>
      <c r="G51" s="126">
        <v>14.590747330960854</v>
      </c>
      <c r="H51" s="126">
        <v>21.352313167259787</v>
      </c>
      <c r="I51" s="127">
        <v>35.231316725978644</v>
      </c>
      <c r="J51" s="126">
        <v>12.455516014234876</v>
      </c>
      <c r="K51" s="126">
        <v>13.523131672597867</v>
      </c>
      <c r="L51" s="126">
        <v>8.5409252669039155</v>
      </c>
      <c r="M51" s="126">
        <v>6.4056939501779357</v>
      </c>
      <c r="N51" s="126">
        <v>1.4234875444839856</v>
      </c>
      <c r="O51" s="127">
        <v>0.71174377224199281</v>
      </c>
      <c r="P51" s="127">
        <v>0.35587188612099641</v>
      </c>
      <c r="Q51" s="127">
        <v>0.35587188612099641</v>
      </c>
      <c r="R51" s="128"/>
    </row>
    <row r="52" spans="1:20" x14ac:dyDescent="0.2">
      <c r="A52" s="269" t="str">
        <f>A32</f>
        <v>50～59歳(n = 320 )　　</v>
      </c>
      <c r="B52" s="113">
        <f t="shared" si="147"/>
        <v>320</v>
      </c>
      <c r="C52" s="129">
        <v>214</v>
      </c>
      <c r="D52" s="130">
        <v>175</v>
      </c>
      <c r="E52" s="130">
        <v>145</v>
      </c>
      <c r="F52" s="130">
        <v>69</v>
      </c>
      <c r="G52" s="130">
        <v>58</v>
      </c>
      <c r="H52" s="130">
        <v>32</v>
      </c>
      <c r="I52" s="140">
        <v>17</v>
      </c>
      <c r="J52" s="130">
        <v>67</v>
      </c>
      <c r="K52" s="130">
        <v>54</v>
      </c>
      <c r="L52" s="130">
        <v>34</v>
      </c>
      <c r="M52" s="130">
        <v>19</v>
      </c>
      <c r="N52" s="130">
        <v>2</v>
      </c>
      <c r="O52" s="140">
        <v>2</v>
      </c>
      <c r="P52" s="140">
        <v>2</v>
      </c>
      <c r="Q52" s="140">
        <v>6</v>
      </c>
      <c r="R52" s="131"/>
    </row>
    <row r="53" spans="1:20" x14ac:dyDescent="0.2">
      <c r="A53" s="270"/>
      <c r="B53" s="114">
        <f t="shared" si="147"/>
        <v>19.801980198019802</v>
      </c>
      <c r="C53" s="125">
        <v>66.875</v>
      </c>
      <c r="D53" s="126">
        <v>54.6875</v>
      </c>
      <c r="E53" s="126">
        <v>45.3125</v>
      </c>
      <c r="F53" s="126">
        <v>21.5625</v>
      </c>
      <c r="G53" s="126">
        <v>18.125</v>
      </c>
      <c r="H53" s="126">
        <v>10</v>
      </c>
      <c r="I53" s="127">
        <v>5.3125</v>
      </c>
      <c r="J53" s="126">
        <v>20.9375</v>
      </c>
      <c r="K53" s="126">
        <v>16.875</v>
      </c>
      <c r="L53" s="126">
        <v>10.625</v>
      </c>
      <c r="M53" s="126">
        <v>5.9375</v>
      </c>
      <c r="N53" s="126">
        <v>0.625</v>
      </c>
      <c r="O53" s="127">
        <v>0.625</v>
      </c>
      <c r="P53" s="127">
        <v>0.625</v>
      </c>
      <c r="Q53" s="127">
        <v>1.875</v>
      </c>
      <c r="R53" s="128"/>
    </row>
    <row r="54" spans="1:20" x14ac:dyDescent="0.2">
      <c r="A54" s="269" t="str">
        <f>A34</f>
        <v>60～69歳(n = 352 )　　</v>
      </c>
      <c r="B54" s="113">
        <f t="shared" si="147"/>
        <v>352</v>
      </c>
      <c r="C54" s="129">
        <v>286</v>
      </c>
      <c r="D54" s="130">
        <v>186</v>
      </c>
      <c r="E54" s="130">
        <v>223</v>
      </c>
      <c r="F54" s="130">
        <v>43</v>
      </c>
      <c r="G54" s="130">
        <v>57</v>
      </c>
      <c r="H54" s="130">
        <v>30</v>
      </c>
      <c r="I54" s="140">
        <v>3</v>
      </c>
      <c r="J54" s="130">
        <v>52</v>
      </c>
      <c r="K54" s="130">
        <v>44</v>
      </c>
      <c r="L54" s="130">
        <v>22</v>
      </c>
      <c r="M54" s="130">
        <v>22</v>
      </c>
      <c r="N54" s="130">
        <v>15</v>
      </c>
      <c r="O54" s="140">
        <v>1</v>
      </c>
      <c r="P54" s="140">
        <v>3</v>
      </c>
      <c r="Q54" s="140">
        <v>1</v>
      </c>
      <c r="R54" s="131"/>
    </row>
    <row r="55" spans="1:20" x14ac:dyDescent="0.2">
      <c r="A55" s="270"/>
      <c r="B55" s="114">
        <f t="shared" si="147"/>
        <v>21.782178217821784</v>
      </c>
      <c r="C55" s="125">
        <v>81.25</v>
      </c>
      <c r="D55" s="126">
        <v>52.840909090909093</v>
      </c>
      <c r="E55" s="126">
        <v>63.352272727272727</v>
      </c>
      <c r="F55" s="126">
        <v>12.215909090909092</v>
      </c>
      <c r="G55" s="126">
        <v>16.193181818181817</v>
      </c>
      <c r="H55" s="126">
        <v>8.5227272727272716</v>
      </c>
      <c r="I55" s="127">
        <v>0.85227272727272718</v>
      </c>
      <c r="J55" s="126">
        <v>14.772727272727273</v>
      </c>
      <c r="K55" s="126">
        <v>12.5</v>
      </c>
      <c r="L55" s="126">
        <v>6.25</v>
      </c>
      <c r="M55" s="126">
        <v>6.25</v>
      </c>
      <c r="N55" s="126">
        <v>4.2613636363636358</v>
      </c>
      <c r="O55" s="127">
        <v>0.28409090909090912</v>
      </c>
      <c r="P55" s="127">
        <v>0.85227272727272718</v>
      </c>
      <c r="Q55" s="127">
        <v>0.28409090909090912</v>
      </c>
      <c r="R55" s="128"/>
    </row>
    <row r="56" spans="1:20" x14ac:dyDescent="0.2">
      <c r="A56" s="269" t="str">
        <f>A36</f>
        <v>70歳以上(n = 315 )　　</v>
      </c>
      <c r="B56" s="113">
        <f t="shared" si="147"/>
        <v>315</v>
      </c>
      <c r="C56" s="129">
        <v>270</v>
      </c>
      <c r="D56" s="130">
        <v>141</v>
      </c>
      <c r="E56" s="130">
        <v>161</v>
      </c>
      <c r="F56" s="130">
        <v>22</v>
      </c>
      <c r="G56" s="130">
        <v>26</v>
      </c>
      <c r="H56" s="130">
        <v>33</v>
      </c>
      <c r="I56" s="140">
        <v>3</v>
      </c>
      <c r="J56" s="130">
        <v>49</v>
      </c>
      <c r="K56" s="130">
        <v>39</v>
      </c>
      <c r="L56" s="130">
        <v>43</v>
      </c>
      <c r="M56" s="130">
        <v>13</v>
      </c>
      <c r="N56" s="130">
        <v>19</v>
      </c>
      <c r="O56" s="140">
        <v>0</v>
      </c>
      <c r="P56" s="140">
        <v>4</v>
      </c>
      <c r="Q56" s="140">
        <v>6</v>
      </c>
      <c r="R56" s="131"/>
    </row>
    <row r="57" spans="1:20" x14ac:dyDescent="0.2">
      <c r="A57" s="270"/>
      <c r="B57" s="114">
        <f t="shared" si="147"/>
        <v>19.492574257425744</v>
      </c>
      <c r="C57" s="125">
        <v>85.714285714285708</v>
      </c>
      <c r="D57" s="126">
        <v>44.761904761904766</v>
      </c>
      <c r="E57" s="126">
        <v>51.111111111111107</v>
      </c>
      <c r="F57" s="126">
        <v>6.9841269841269842</v>
      </c>
      <c r="G57" s="126">
        <v>8.2539682539682531</v>
      </c>
      <c r="H57" s="126">
        <v>10.476190476190476</v>
      </c>
      <c r="I57" s="127">
        <v>0.95238095238095244</v>
      </c>
      <c r="J57" s="126">
        <v>15.555555555555555</v>
      </c>
      <c r="K57" s="126">
        <v>12.380952380952381</v>
      </c>
      <c r="L57" s="126">
        <v>13.65079365079365</v>
      </c>
      <c r="M57" s="126">
        <v>4.1269841269841265</v>
      </c>
      <c r="N57" s="126">
        <v>6.0317460317460316</v>
      </c>
      <c r="O57" s="127">
        <v>0</v>
      </c>
      <c r="P57" s="127">
        <v>1.2698412698412698</v>
      </c>
      <c r="Q57" s="127">
        <v>1.9047619047619049</v>
      </c>
      <c r="R57" s="128"/>
    </row>
    <row r="58" spans="1:20" x14ac:dyDescent="0.2">
      <c r="K58">
        <v>9</v>
      </c>
    </row>
    <row r="59" spans="1:20" x14ac:dyDescent="0.2">
      <c r="A59" s="3" t="s">
        <v>164</v>
      </c>
      <c r="B59" s="1" t="str">
        <f>B20</f>
        <v>今後のくらしの中で重視していきたいこと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20" ht="32.4" x14ac:dyDescent="0.2">
      <c r="A60" s="13" t="s">
        <v>27</v>
      </c>
      <c r="B60" s="59" t="str">
        <f>B21</f>
        <v>調査数</v>
      </c>
      <c r="C60" s="60" t="str">
        <f t="shared" ref="C60:Q60" si="153">C21</f>
        <v>健康・体力づくり</v>
      </c>
      <c r="D60" s="61" t="str">
        <f t="shared" si="153"/>
        <v>家計の安定・充実</v>
      </c>
      <c r="E60" s="61" t="str">
        <f t="shared" si="153"/>
        <v>知識や教養の向上</v>
      </c>
      <c r="F60" s="61" t="str">
        <f t="shared" si="153"/>
        <v>社会的地位の向上</v>
      </c>
      <c r="G60" s="61" t="str">
        <f t="shared" si="153"/>
        <v>仕事（家業・学業を含む）</v>
      </c>
      <c r="H60" s="61" t="str">
        <f t="shared" si="153"/>
        <v>趣味・レジャー</v>
      </c>
      <c r="I60" s="62" t="str">
        <f t="shared" si="153"/>
        <v>ボランティアや地域活動</v>
      </c>
      <c r="J60" s="61" t="str">
        <f t="shared" si="153"/>
        <v>家族との団らん</v>
      </c>
      <c r="K60" s="61" t="str">
        <f t="shared" si="153"/>
        <v>家族の介護</v>
      </c>
      <c r="L60" s="61" t="str">
        <f t="shared" si="153"/>
        <v>子育て・子どもの教育</v>
      </c>
      <c r="M60" s="61" t="str">
        <f t="shared" si="153"/>
        <v>衣・食生活の充実</v>
      </c>
      <c r="N60" s="62" t="str">
        <f t="shared" si="153"/>
        <v>住まいの改善・充実</v>
      </c>
      <c r="O60" s="62" t="str">
        <f t="shared" si="153"/>
        <v>老後の生活への準備</v>
      </c>
      <c r="P60" s="62" t="str">
        <f t="shared" si="153"/>
        <v>その他</v>
      </c>
      <c r="Q60" s="62" t="str">
        <f t="shared" si="153"/>
        <v>特にない</v>
      </c>
      <c r="R60" s="63"/>
      <c r="S60" s="103" t="s">
        <v>118</v>
      </c>
      <c r="T60" s="202"/>
    </row>
    <row r="61" spans="1:20" x14ac:dyDescent="0.2">
      <c r="A61" s="269" t="str">
        <f>'問3M（表）'!A61:A62</f>
        <v>全体(n = 1,616 )　　</v>
      </c>
      <c r="B61" s="34">
        <f>'問3M（表）'!B61</f>
        <v>1616</v>
      </c>
      <c r="C61" s="31">
        <f t="shared" ref="C61:Q61" si="154">SUM(C63,C65,C67,C69,C71)</f>
        <v>1020</v>
      </c>
      <c r="D61" s="32">
        <f t="shared" si="154"/>
        <v>892</v>
      </c>
      <c r="E61" s="32">
        <f t="shared" si="154"/>
        <v>117</v>
      </c>
      <c r="F61" s="32">
        <f t="shared" si="154"/>
        <v>19</v>
      </c>
      <c r="G61" s="32">
        <f t="shared" si="154"/>
        <v>300</v>
      </c>
      <c r="H61" s="32">
        <f t="shared" si="154"/>
        <v>280</v>
      </c>
      <c r="I61" s="32">
        <f t="shared" si="154"/>
        <v>46</v>
      </c>
      <c r="J61" s="32">
        <f t="shared" si="154"/>
        <v>235</v>
      </c>
      <c r="K61" s="32">
        <f t="shared" si="154"/>
        <v>209</v>
      </c>
      <c r="L61" s="32">
        <f t="shared" si="154"/>
        <v>222</v>
      </c>
      <c r="M61" s="32">
        <f t="shared" si="154"/>
        <v>183</v>
      </c>
      <c r="N61" s="32">
        <f t="shared" si="154"/>
        <v>203</v>
      </c>
      <c r="O61" s="32">
        <f t="shared" si="154"/>
        <v>638</v>
      </c>
      <c r="P61" s="32">
        <f t="shared" si="154"/>
        <v>11</v>
      </c>
      <c r="Q61" s="32">
        <f t="shared" si="154"/>
        <v>19</v>
      </c>
      <c r="R61" s="33"/>
      <c r="S61" s="104">
        <f>SUM($C61:R61)</f>
        <v>4394</v>
      </c>
      <c r="T61" s="166"/>
    </row>
    <row r="62" spans="1:20" x14ac:dyDescent="0.2">
      <c r="A62" s="270"/>
      <c r="B62" s="20">
        <f>B61/$B$61*100</f>
        <v>100</v>
      </c>
      <c r="C62" s="20">
        <f t="shared" ref="C62" si="155">C61/$B61*100</f>
        <v>63.118811881188122</v>
      </c>
      <c r="D62" s="207">
        <f t="shared" ref="D62" si="156">D61/$B61*100</f>
        <v>55.198019801980202</v>
      </c>
      <c r="E62" s="207">
        <f t="shared" ref="E62" si="157">E61/$B61*100</f>
        <v>7.2400990099009892</v>
      </c>
      <c r="F62" s="207">
        <f t="shared" ref="F62" si="158">F61/$B61*100</f>
        <v>1.1757425742574257</v>
      </c>
      <c r="G62" s="207">
        <f t="shared" ref="G62" si="159">G61/$B61*100</f>
        <v>18.564356435643564</v>
      </c>
      <c r="H62" s="207">
        <f t="shared" ref="H62" si="160">H61/$B61*100</f>
        <v>17.326732673267326</v>
      </c>
      <c r="I62" s="207">
        <f t="shared" ref="I62" si="161">I61/$B61*100</f>
        <v>2.8465346534653468</v>
      </c>
      <c r="J62" s="207">
        <f t="shared" ref="J62" si="162">J61/$B61*100</f>
        <v>14.542079207920791</v>
      </c>
      <c r="K62" s="207">
        <f t="shared" ref="K62" si="163">K61/$B61*100</f>
        <v>12.933168316831683</v>
      </c>
      <c r="L62" s="207">
        <f t="shared" ref="L62" si="164">L61/$B61*100</f>
        <v>13.737623762376238</v>
      </c>
      <c r="M62" s="207">
        <f t="shared" ref="M62" si="165">M61/$B61*100</f>
        <v>11.324257425742575</v>
      </c>
      <c r="N62" s="207">
        <f t="shared" ref="N62" si="166">N61/$B61*100</f>
        <v>12.561881188118813</v>
      </c>
      <c r="O62" s="207">
        <f t="shared" ref="O62" si="167">O61/$B61*100</f>
        <v>39.480198019801982</v>
      </c>
      <c r="P62" s="207">
        <f t="shared" ref="P62" si="168">P61/$B61*100</f>
        <v>0.68069306930693074</v>
      </c>
      <c r="Q62" s="207">
        <f t="shared" ref="Q62" si="169">Q61/$B61*100</f>
        <v>1.1757425742574257</v>
      </c>
      <c r="R62" s="208"/>
      <c r="S62" s="104"/>
    </row>
    <row r="63" spans="1:20" ht="13.5" customHeight="1" x14ac:dyDescent="0.2">
      <c r="A63" s="269" t="str">
        <f>'問3M（表）'!A63:A64</f>
        <v>岐阜圏域(n = 617 )　　</v>
      </c>
      <c r="B63" s="34">
        <f>'問3M（表）'!B63</f>
        <v>617</v>
      </c>
      <c r="C63" s="31">
        <v>381</v>
      </c>
      <c r="D63" s="32">
        <v>355</v>
      </c>
      <c r="E63" s="32">
        <v>46</v>
      </c>
      <c r="F63" s="32">
        <v>7</v>
      </c>
      <c r="G63" s="32">
        <v>124</v>
      </c>
      <c r="H63" s="32">
        <v>99</v>
      </c>
      <c r="I63" s="32">
        <v>18</v>
      </c>
      <c r="J63" s="32">
        <v>86</v>
      </c>
      <c r="K63" s="32">
        <v>79</v>
      </c>
      <c r="L63" s="32">
        <v>103</v>
      </c>
      <c r="M63" s="32">
        <v>77</v>
      </c>
      <c r="N63" s="32">
        <v>81</v>
      </c>
      <c r="O63" s="32">
        <v>247</v>
      </c>
      <c r="P63" s="32">
        <v>3</v>
      </c>
      <c r="Q63" s="32">
        <v>8</v>
      </c>
      <c r="R63" s="33"/>
      <c r="S63" s="104">
        <f>SUM($C63:R63)</f>
        <v>1714</v>
      </c>
      <c r="T63" t="str">
        <f>" 岐阜圏域（N = "&amp;$S$64&amp;": n = "&amp;$B$63&amp;"）"</f>
        <v xml:space="preserve"> 岐阜圏域（N = 1,714: n = 617）</v>
      </c>
    </row>
    <row r="64" spans="1:20" x14ac:dyDescent="0.2">
      <c r="A64" s="270"/>
      <c r="B64" s="20">
        <f>B63/$B$61*100</f>
        <v>38.180693069306933</v>
      </c>
      <c r="C64" s="20">
        <f t="shared" ref="C64" si="170">C63/$B63*100</f>
        <v>61.750405186385734</v>
      </c>
      <c r="D64" s="207">
        <f t="shared" ref="D64" si="171">D63/$B63*100</f>
        <v>57.536466774716367</v>
      </c>
      <c r="E64" s="207">
        <f t="shared" ref="E64" si="172">E63/$B63*100</f>
        <v>7.4554294975688817</v>
      </c>
      <c r="F64" s="207">
        <f t="shared" ref="F64" si="173">F63/$B63*100</f>
        <v>1.1345218800648298</v>
      </c>
      <c r="G64" s="207">
        <f t="shared" ref="G64" si="174">G63/$B63*100</f>
        <v>20.097244732576986</v>
      </c>
      <c r="H64" s="207">
        <f t="shared" ref="H64" si="175">H63/$B63*100</f>
        <v>16.045380875202593</v>
      </c>
      <c r="I64" s="207">
        <f t="shared" ref="I64" si="176">I63/$B63*100</f>
        <v>2.9173419773095626</v>
      </c>
      <c r="J64" s="207">
        <f t="shared" ref="J64" si="177">J63/$B63*100</f>
        <v>13.938411669367909</v>
      </c>
      <c r="K64" s="207">
        <f t="shared" ref="K64" si="178">K63/$B63*100</f>
        <v>12.80388978930308</v>
      </c>
      <c r="L64" s="207">
        <f t="shared" ref="L64" si="179">L63/$B63*100</f>
        <v>16.693679092382496</v>
      </c>
      <c r="M64" s="207">
        <f t="shared" ref="M64" si="180">M63/$B63*100</f>
        <v>12.479740680713128</v>
      </c>
      <c r="N64" s="207">
        <f t="shared" ref="N64" si="181">N63/$B63*100</f>
        <v>13.128038897893029</v>
      </c>
      <c r="O64" s="207">
        <f t="shared" ref="O64" si="182">O63/$B63*100</f>
        <v>40.032414910858996</v>
      </c>
      <c r="P64" s="207">
        <f t="shared" ref="P64" si="183">P63/$B63*100</f>
        <v>0.48622366288492713</v>
      </c>
      <c r="Q64" s="207">
        <f t="shared" ref="Q64" si="184">Q63/$B63*100</f>
        <v>1.2965964343598055</v>
      </c>
      <c r="R64" s="208"/>
      <c r="S64" s="204" t="s">
        <v>262</v>
      </c>
    </row>
    <row r="65" spans="1:35" ht="13.5" customHeight="1" x14ac:dyDescent="0.2">
      <c r="A65" s="269" t="str">
        <f>'問3M（表）'!A65:A66</f>
        <v>西濃圏域(n = 290 )　　</v>
      </c>
      <c r="B65" s="34">
        <f>'問3M（表）'!B65</f>
        <v>290</v>
      </c>
      <c r="C65" s="31">
        <v>199</v>
      </c>
      <c r="D65" s="32">
        <v>172</v>
      </c>
      <c r="E65" s="32">
        <v>21</v>
      </c>
      <c r="F65" s="32">
        <v>4</v>
      </c>
      <c r="G65" s="32">
        <v>45</v>
      </c>
      <c r="H65" s="32">
        <v>50</v>
      </c>
      <c r="I65" s="32">
        <v>4</v>
      </c>
      <c r="J65" s="32">
        <v>58</v>
      </c>
      <c r="K65" s="32">
        <v>43</v>
      </c>
      <c r="L65" s="32">
        <v>41</v>
      </c>
      <c r="M65" s="32">
        <v>28</v>
      </c>
      <c r="N65" s="32">
        <v>38</v>
      </c>
      <c r="O65" s="32">
        <v>105</v>
      </c>
      <c r="P65" s="32">
        <v>1</v>
      </c>
      <c r="Q65" s="32">
        <v>2</v>
      </c>
      <c r="R65" s="33"/>
      <c r="S65" s="104">
        <f>SUM($C65:R65)</f>
        <v>811</v>
      </c>
      <c r="T65" t="str">
        <f>" 西濃圏域（N = "&amp;$S$65&amp;" : n = "&amp;$B$65&amp;"）"</f>
        <v xml:space="preserve"> 西濃圏域（N = 811 : n = 290）</v>
      </c>
    </row>
    <row r="66" spans="1:35" x14ac:dyDescent="0.2">
      <c r="A66" s="270"/>
      <c r="B66" s="20">
        <f>B65/$B$61*100</f>
        <v>17.945544554455445</v>
      </c>
      <c r="C66" s="20">
        <f t="shared" ref="C66" si="185">C65/$B65*100</f>
        <v>68.620689655172413</v>
      </c>
      <c r="D66" s="207">
        <f t="shared" ref="D66" si="186">D65/$B65*100</f>
        <v>59.310344827586206</v>
      </c>
      <c r="E66" s="207">
        <f t="shared" ref="E66" si="187">E65/$B65*100</f>
        <v>7.2413793103448283</v>
      </c>
      <c r="F66" s="207">
        <f t="shared" ref="F66" si="188">F65/$B65*100</f>
        <v>1.3793103448275863</v>
      </c>
      <c r="G66" s="207">
        <f t="shared" ref="G66" si="189">G65/$B65*100</f>
        <v>15.517241379310345</v>
      </c>
      <c r="H66" s="207">
        <f t="shared" ref="H66" si="190">H65/$B65*100</f>
        <v>17.241379310344829</v>
      </c>
      <c r="I66" s="207">
        <f t="shared" ref="I66" si="191">I65/$B65*100</f>
        <v>1.3793103448275863</v>
      </c>
      <c r="J66" s="207">
        <f t="shared" ref="J66" si="192">J65/$B65*100</f>
        <v>20</v>
      </c>
      <c r="K66" s="207">
        <f t="shared" ref="K66" si="193">K65/$B65*100</f>
        <v>14.827586206896552</v>
      </c>
      <c r="L66" s="207">
        <f t="shared" ref="L66" si="194">L65/$B65*100</f>
        <v>14.13793103448276</v>
      </c>
      <c r="M66" s="207">
        <f t="shared" ref="M66" si="195">M65/$B65*100</f>
        <v>9.6551724137931032</v>
      </c>
      <c r="N66" s="207">
        <f t="shared" ref="N66" si="196">N65/$B65*100</f>
        <v>13.103448275862069</v>
      </c>
      <c r="O66" s="207">
        <f t="shared" ref="O66" si="197">O65/$B65*100</f>
        <v>36.206896551724135</v>
      </c>
      <c r="P66" s="207">
        <f t="shared" ref="P66" si="198">P65/$B65*100</f>
        <v>0.34482758620689657</v>
      </c>
      <c r="Q66" s="207">
        <f t="shared" ref="Q66" si="199">Q65/$B65*100</f>
        <v>0.68965517241379315</v>
      </c>
      <c r="R66" s="208"/>
      <c r="S66" s="104"/>
    </row>
    <row r="67" spans="1:35" ht="13.5" customHeight="1" x14ac:dyDescent="0.2">
      <c r="A67" s="269" t="str">
        <f>'問3M（表）'!A67:A68</f>
        <v>中濃圏域(n = 300 )　　</v>
      </c>
      <c r="B67" s="34">
        <f>'問3M（表）'!B67</f>
        <v>300</v>
      </c>
      <c r="C67" s="31">
        <v>189</v>
      </c>
      <c r="D67" s="32">
        <v>183</v>
      </c>
      <c r="E67" s="32">
        <v>14</v>
      </c>
      <c r="F67" s="32">
        <v>2</v>
      </c>
      <c r="G67" s="32">
        <v>66</v>
      </c>
      <c r="H67" s="32">
        <v>57</v>
      </c>
      <c r="I67" s="32">
        <v>12</v>
      </c>
      <c r="J67" s="32">
        <v>39</v>
      </c>
      <c r="K67" s="32">
        <v>37</v>
      </c>
      <c r="L67" s="32">
        <v>28</v>
      </c>
      <c r="M67" s="32">
        <v>35</v>
      </c>
      <c r="N67" s="32">
        <v>35</v>
      </c>
      <c r="O67" s="32">
        <v>136</v>
      </c>
      <c r="P67" s="32">
        <v>2</v>
      </c>
      <c r="Q67" s="32">
        <v>2</v>
      </c>
      <c r="R67" s="33"/>
      <c r="S67" s="104">
        <f>SUM($C67:R67)</f>
        <v>837</v>
      </c>
      <c r="T67" t="str">
        <f>" 中濃圏域（N = "&amp;$S$67&amp;" : n = "&amp;$B$67&amp;"）"</f>
        <v xml:space="preserve"> 中濃圏域（N = 837 : n = 300）</v>
      </c>
    </row>
    <row r="68" spans="1:35" x14ac:dyDescent="0.2">
      <c r="A68" s="270"/>
      <c r="B68" s="20">
        <f>B67/$B$61*100</f>
        <v>18.564356435643564</v>
      </c>
      <c r="C68" s="20">
        <f t="shared" ref="C68" si="200">C67/$B67*100</f>
        <v>63</v>
      </c>
      <c r="D68" s="207">
        <f t="shared" ref="D68" si="201">D67/$B67*100</f>
        <v>61</v>
      </c>
      <c r="E68" s="207">
        <f t="shared" ref="E68" si="202">E67/$B67*100</f>
        <v>4.666666666666667</v>
      </c>
      <c r="F68" s="207">
        <f t="shared" ref="F68" si="203">F67/$B67*100</f>
        <v>0.66666666666666674</v>
      </c>
      <c r="G68" s="207">
        <f t="shared" ref="G68" si="204">G67/$B67*100</f>
        <v>22</v>
      </c>
      <c r="H68" s="207">
        <f t="shared" ref="H68" si="205">H67/$B67*100</f>
        <v>19</v>
      </c>
      <c r="I68" s="207">
        <f t="shared" ref="I68" si="206">I67/$B67*100</f>
        <v>4</v>
      </c>
      <c r="J68" s="207">
        <f t="shared" ref="J68" si="207">J67/$B67*100</f>
        <v>13</v>
      </c>
      <c r="K68" s="207">
        <f t="shared" ref="K68" si="208">K67/$B67*100</f>
        <v>12.333333333333334</v>
      </c>
      <c r="L68" s="207">
        <f t="shared" ref="L68" si="209">L67/$B67*100</f>
        <v>9.3333333333333339</v>
      </c>
      <c r="M68" s="207">
        <f t="shared" ref="M68" si="210">M67/$B67*100</f>
        <v>11.666666666666666</v>
      </c>
      <c r="N68" s="207">
        <f t="shared" ref="N68" si="211">N67/$B67*100</f>
        <v>11.666666666666666</v>
      </c>
      <c r="O68" s="207">
        <f t="shared" ref="O68" si="212">O67/$B67*100</f>
        <v>45.333333333333329</v>
      </c>
      <c r="P68" s="207">
        <f t="shared" ref="P68" si="213">P67/$B67*100</f>
        <v>0.66666666666666674</v>
      </c>
      <c r="Q68" s="207">
        <f t="shared" ref="Q68" si="214">Q67/$B67*100</f>
        <v>0.66666666666666674</v>
      </c>
      <c r="R68" s="208"/>
      <c r="S68" s="195"/>
    </row>
    <row r="69" spans="1:35" ht="13.5" customHeight="1" x14ac:dyDescent="0.2">
      <c r="A69" s="269" t="str">
        <f>'問3M（表）'!A69:A70</f>
        <v>東濃圏域(n = 271 )　　</v>
      </c>
      <c r="B69" s="34">
        <f>'問3M（表）'!B69</f>
        <v>271</v>
      </c>
      <c r="C69" s="31">
        <v>181</v>
      </c>
      <c r="D69" s="32">
        <v>137</v>
      </c>
      <c r="E69" s="32">
        <v>29</v>
      </c>
      <c r="F69" s="32">
        <v>4</v>
      </c>
      <c r="G69" s="32">
        <v>44</v>
      </c>
      <c r="H69" s="32">
        <v>54</v>
      </c>
      <c r="I69" s="32">
        <v>8</v>
      </c>
      <c r="J69" s="32">
        <v>33</v>
      </c>
      <c r="K69" s="32">
        <v>36</v>
      </c>
      <c r="L69" s="32">
        <v>31</v>
      </c>
      <c r="M69" s="32">
        <v>32</v>
      </c>
      <c r="N69" s="32">
        <v>37</v>
      </c>
      <c r="O69" s="32">
        <v>112</v>
      </c>
      <c r="P69" s="32">
        <v>2</v>
      </c>
      <c r="Q69" s="32">
        <v>3</v>
      </c>
      <c r="R69" s="33"/>
      <c r="S69" s="104">
        <f>SUM($C69:R69)</f>
        <v>743</v>
      </c>
      <c r="T69" t="str">
        <f>" 東濃圏域（N = "&amp;$S$69&amp;" : n = "&amp;$B$69&amp;"）"</f>
        <v xml:space="preserve"> 東濃圏域（N = 743 : n = 271）</v>
      </c>
    </row>
    <row r="70" spans="1:35" x14ac:dyDescent="0.2">
      <c r="A70" s="270"/>
      <c r="B70" s="20">
        <f>B69/$B$61*100</f>
        <v>16.769801980198022</v>
      </c>
      <c r="C70" s="20">
        <f t="shared" ref="C70" si="215">C69/$B69*100</f>
        <v>66.789667896678964</v>
      </c>
      <c r="D70" s="207">
        <f t="shared" ref="D70" si="216">D69/$B69*100</f>
        <v>50.553505535055351</v>
      </c>
      <c r="E70" s="207">
        <f t="shared" ref="E70" si="217">E69/$B69*100</f>
        <v>10.701107011070111</v>
      </c>
      <c r="F70" s="207">
        <f t="shared" ref="F70" si="218">F69/$B69*100</f>
        <v>1.4760147601476015</v>
      </c>
      <c r="G70" s="207">
        <f t="shared" ref="G70" si="219">G69/$B69*100</f>
        <v>16.236162361623617</v>
      </c>
      <c r="H70" s="207">
        <f t="shared" ref="H70" si="220">H69/$B69*100</f>
        <v>19.926199261992618</v>
      </c>
      <c r="I70" s="207">
        <f t="shared" ref="I70" si="221">I69/$B69*100</f>
        <v>2.9520295202952029</v>
      </c>
      <c r="J70" s="207">
        <f t="shared" ref="J70" si="222">J69/$B69*100</f>
        <v>12.177121771217712</v>
      </c>
      <c r="K70" s="207">
        <f t="shared" ref="K70" si="223">K69/$B69*100</f>
        <v>13.284132841328415</v>
      </c>
      <c r="L70" s="207">
        <f t="shared" ref="L70" si="224">L69/$B69*100</f>
        <v>11.439114391143912</v>
      </c>
      <c r="M70" s="207">
        <f t="shared" ref="M70" si="225">M69/$B69*100</f>
        <v>11.808118081180812</v>
      </c>
      <c r="N70" s="207">
        <f t="shared" ref="N70" si="226">N69/$B69*100</f>
        <v>13.653136531365314</v>
      </c>
      <c r="O70" s="207">
        <f t="shared" ref="O70" si="227">O69/$B69*100</f>
        <v>41.328413284132843</v>
      </c>
      <c r="P70" s="207">
        <f t="shared" ref="P70" si="228">P69/$B69*100</f>
        <v>0.73800738007380073</v>
      </c>
      <c r="Q70" s="207">
        <f t="shared" ref="Q70" si="229">Q69/$B69*100</f>
        <v>1.107011070110701</v>
      </c>
      <c r="R70" s="208"/>
      <c r="S70" s="195"/>
    </row>
    <row r="71" spans="1:35" ht="13.5" customHeight="1" x14ac:dyDescent="0.2">
      <c r="A71" s="269" t="str">
        <f>'問3M（表）'!A71:A72</f>
        <v>飛騨圏域(n = 106 )　　</v>
      </c>
      <c r="B71" s="34">
        <f>'問3M（表）'!B71</f>
        <v>106</v>
      </c>
      <c r="C71" s="31">
        <v>70</v>
      </c>
      <c r="D71" s="32">
        <v>45</v>
      </c>
      <c r="E71" s="32">
        <v>7</v>
      </c>
      <c r="F71" s="32">
        <v>2</v>
      </c>
      <c r="G71" s="32">
        <v>21</v>
      </c>
      <c r="H71" s="32">
        <v>20</v>
      </c>
      <c r="I71" s="32">
        <v>4</v>
      </c>
      <c r="J71" s="32">
        <v>19</v>
      </c>
      <c r="K71" s="32">
        <v>14</v>
      </c>
      <c r="L71" s="32">
        <v>19</v>
      </c>
      <c r="M71" s="32">
        <v>11</v>
      </c>
      <c r="N71" s="32">
        <v>12</v>
      </c>
      <c r="O71" s="32">
        <v>38</v>
      </c>
      <c r="P71" s="32">
        <v>3</v>
      </c>
      <c r="Q71" s="32">
        <v>4</v>
      </c>
      <c r="R71" s="33"/>
      <c r="S71" s="104">
        <f>SUM($C71:R71)</f>
        <v>289</v>
      </c>
      <c r="T71" t="str">
        <f>" 飛騨圏域（N = "&amp;$S$71&amp;" : n = "&amp;$B$71&amp;"）"</f>
        <v xml:space="preserve"> 飛騨圏域（N = 289 : n = 106）</v>
      </c>
    </row>
    <row r="72" spans="1:35" x14ac:dyDescent="0.2">
      <c r="A72" s="270"/>
      <c r="B72" s="20">
        <f>B71/$B$61*100</f>
        <v>6.5594059405940595</v>
      </c>
      <c r="C72" s="20">
        <f t="shared" ref="C72" si="230">C71/$B71*100</f>
        <v>66.037735849056602</v>
      </c>
      <c r="D72" s="207">
        <f t="shared" ref="D72" si="231">D71/$B71*100</f>
        <v>42.452830188679243</v>
      </c>
      <c r="E72" s="207">
        <f t="shared" ref="E72" si="232">E71/$B71*100</f>
        <v>6.6037735849056602</v>
      </c>
      <c r="F72" s="207">
        <f t="shared" ref="F72" si="233">F71/$B71*100</f>
        <v>1.8867924528301887</v>
      </c>
      <c r="G72" s="207">
        <f t="shared" ref="G72" si="234">G71/$B71*100</f>
        <v>19.811320754716981</v>
      </c>
      <c r="H72" s="207">
        <f t="shared" ref="H72" si="235">H71/$B71*100</f>
        <v>18.867924528301888</v>
      </c>
      <c r="I72" s="207">
        <f t="shared" ref="I72" si="236">I71/$B71*100</f>
        <v>3.7735849056603774</v>
      </c>
      <c r="J72" s="207">
        <f t="shared" ref="J72" si="237">J71/$B71*100</f>
        <v>17.924528301886792</v>
      </c>
      <c r="K72" s="207">
        <f t="shared" ref="K72" si="238">K71/$B71*100</f>
        <v>13.20754716981132</v>
      </c>
      <c r="L72" s="207">
        <f t="shared" ref="L72" si="239">L71/$B71*100</f>
        <v>17.924528301886792</v>
      </c>
      <c r="M72" s="207">
        <f t="shared" ref="M72" si="240">M71/$B71*100</f>
        <v>10.377358490566039</v>
      </c>
      <c r="N72" s="207">
        <f t="shared" ref="N72" si="241">N71/$B71*100</f>
        <v>11.320754716981133</v>
      </c>
      <c r="O72" s="207">
        <f t="shared" ref="O72" si="242">O71/$B71*100</f>
        <v>35.849056603773583</v>
      </c>
      <c r="P72" s="207">
        <f t="shared" ref="P72" si="243">P71/$B71*100</f>
        <v>2.8301886792452833</v>
      </c>
      <c r="Q72" s="207">
        <f t="shared" ref="Q72" si="244">Q71/$B71*100</f>
        <v>3.7735849056603774</v>
      </c>
      <c r="R72" s="208"/>
      <c r="S72" s="195"/>
    </row>
    <row r="73" spans="1:35" s="186" customFormat="1" x14ac:dyDescent="0.2">
      <c r="A73" s="184"/>
      <c r="B73" s="182"/>
      <c r="C73" s="172">
        <f>_xlfn.RANK.EQ(C62,$C$62:$R$62,0)</f>
        <v>1</v>
      </c>
      <c r="D73" s="172">
        <f t="shared" ref="D73:Q73" si="245">_xlfn.RANK.EQ(D62,$C$62:$R$62,0)</f>
        <v>2</v>
      </c>
      <c r="E73" s="172">
        <f t="shared" si="245"/>
        <v>11</v>
      </c>
      <c r="F73" s="172">
        <f t="shared" si="245"/>
        <v>13</v>
      </c>
      <c r="G73" s="172">
        <f t="shared" si="245"/>
        <v>4</v>
      </c>
      <c r="H73" s="172">
        <f t="shared" si="245"/>
        <v>5</v>
      </c>
      <c r="I73" s="172">
        <f t="shared" si="245"/>
        <v>12</v>
      </c>
      <c r="J73" s="172">
        <f t="shared" si="245"/>
        <v>6</v>
      </c>
      <c r="K73" s="172">
        <f t="shared" si="245"/>
        <v>8</v>
      </c>
      <c r="L73" s="172">
        <f t="shared" si="245"/>
        <v>7</v>
      </c>
      <c r="M73" s="172">
        <f t="shared" si="245"/>
        <v>10</v>
      </c>
      <c r="N73" s="172">
        <f t="shared" si="245"/>
        <v>9</v>
      </c>
      <c r="O73" s="172">
        <f t="shared" si="245"/>
        <v>3</v>
      </c>
      <c r="P73" s="172">
        <f t="shared" si="245"/>
        <v>15</v>
      </c>
      <c r="Q73" s="172">
        <f t="shared" si="245"/>
        <v>13</v>
      </c>
      <c r="R73" s="172"/>
      <c r="S73" s="185"/>
    </row>
    <row r="74" spans="1:35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S74" s="104"/>
    </row>
    <row r="75" spans="1:35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Q75" s="27">
        <v>15</v>
      </c>
      <c r="R75" s="27">
        <v>16</v>
      </c>
      <c r="T75" s="45"/>
      <c r="U75" s="27">
        <v>1</v>
      </c>
      <c r="V75" s="27">
        <v>2</v>
      </c>
      <c r="W75" s="27">
        <v>3</v>
      </c>
      <c r="X75" s="27">
        <v>4</v>
      </c>
      <c r="Y75" s="27">
        <v>5</v>
      </c>
      <c r="Z75" s="27">
        <v>6</v>
      </c>
      <c r="AA75" s="27">
        <v>7</v>
      </c>
      <c r="AB75" s="27">
        <v>8</v>
      </c>
      <c r="AC75" s="27">
        <v>9</v>
      </c>
      <c r="AD75" s="27">
        <v>10</v>
      </c>
      <c r="AE75" s="27">
        <v>11</v>
      </c>
      <c r="AF75" s="27">
        <v>12</v>
      </c>
      <c r="AG75" s="27">
        <v>13</v>
      </c>
      <c r="AH75" s="27">
        <v>14</v>
      </c>
      <c r="AI75" s="27">
        <v>15</v>
      </c>
    </row>
    <row r="76" spans="1:35" ht="33.75" customHeight="1" x14ac:dyDescent="0.2">
      <c r="A76" s="12" t="str">
        <f>A60</f>
        <v>【居住圏域別】</v>
      </c>
      <c r="B76" s="59" t="s">
        <v>157</v>
      </c>
      <c r="C76" s="60" t="s">
        <v>208</v>
      </c>
      <c r="D76" s="61" t="s">
        <v>209</v>
      </c>
      <c r="E76" s="61" t="s">
        <v>74</v>
      </c>
      <c r="F76" s="61" t="s">
        <v>210</v>
      </c>
      <c r="G76" s="61" t="s">
        <v>176</v>
      </c>
      <c r="H76" s="61" t="s">
        <v>70</v>
      </c>
      <c r="I76" s="62" t="s">
        <v>52</v>
      </c>
      <c r="J76" s="61" t="s">
        <v>71</v>
      </c>
      <c r="K76" s="61" t="s">
        <v>211</v>
      </c>
      <c r="L76" s="61" t="s">
        <v>73</v>
      </c>
      <c r="M76" s="61" t="s">
        <v>212</v>
      </c>
      <c r="N76" s="62" t="s">
        <v>213</v>
      </c>
      <c r="O76" s="62" t="s">
        <v>214</v>
      </c>
      <c r="P76" s="62" t="s">
        <v>57</v>
      </c>
      <c r="Q76" s="62" t="s">
        <v>75</v>
      </c>
      <c r="R76" s="63"/>
      <c r="S76" s="44" t="s">
        <v>32</v>
      </c>
      <c r="T76" s="12" t="str">
        <f>A76</f>
        <v>【居住圏域別】</v>
      </c>
      <c r="U76" s="60" t="str">
        <f>C76</f>
        <v>健康・体力づくり</v>
      </c>
      <c r="V76" s="61" t="str">
        <f t="shared" ref="V76" si="246">D76</f>
        <v>家計の安定・充実</v>
      </c>
      <c r="W76" s="61" t="str">
        <f t="shared" ref="W76" si="247">E76</f>
        <v>老後の生活への準備</v>
      </c>
      <c r="X76" s="61" t="str">
        <f t="shared" ref="X76" si="248">F76</f>
        <v>仕事（家業・学業を含む）</v>
      </c>
      <c r="Y76" s="61" t="str">
        <f t="shared" ref="Y76" si="249">G76</f>
        <v>趣味・レジャー</v>
      </c>
      <c r="Z76" s="61" t="str">
        <f t="shared" ref="Z76" si="250">H76</f>
        <v>家族との団らん</v>
      </c>
      <c r="AA76" s="61" t="str">
        <f t="shared" ref="AA76" si="251">I76</f>
        <v>子育て・子どもの教育</v>
      </c>
      <c r="AB76" s="62" t="str">
        <f t="shared" ref="AB76" si="252">J76</f>
        <v>家族の介護</v>
      </c>
      <c r="AC76" s="106" t="str">
        <f t="shared" ref="AC76" si="253">K76</f>
        <v>住まいの改善・充実</v>
      </c>
      <c r="AD76" s="61" t="str">
        <f t="shared" ref="AD76" si="254">L76</f>
        <v>衣・食生活の充実</v>
      </c>
      <c r="AE76" s="61" t="str">
        <f t="shared" ref="AE76" si="255">M76</f>
        <v>知識や教養の向上</v>
      </c>
      <c r="AF76" s="62" t="str">
        <f t="shared" ref="AF76" si="256">N76</f>
        <v>ボランティアや地域活動</v>
      </c>
      <c r="AG76" s="62" t="str">
        <f t="shared" ref="AG76" si="257">O76</f>
        <v>社会的地位の向上</v>
      </c>
      <c r="AH76" s="62" t="str">
        <f>P76</f>
        <v>その他</v>
      </c>
      <c r="AI76" s="63" t="str">
        <f t="shared" ref="AI76" si="258">Q76</f>
        <v>特にない</v>
      </c>
    </row>
    <row r="77" spans="1:35" ht="12.75" customHeight="1" x14ac:dyDescent="0.2">
      <c r="A77" s="269" t="str">
        <f>A61</f>
        <v>全体(n = 1,616 )　　</v>
      </c>
      <c r="B77" s="113">
        <f>B61</f>
        <v>1616</v>
      </c>
      <c r="C77" s="121">
        <v>1020</v>
      </c>
      <c r="D77" s="122">
        <v>892</v>
      </c>
      <c r="E77" s="122">
        <v>638</v>
      </c>
      <c r="F77" s="122">
        <v>300</v>
      </c>
      <c r="G77" s="122">
        <v>280</v>
      </c>
      <c r="H77" s="122">
        <v>235</v>
      </c>
      <c r="I77" s="123">
        <v>222</v>
      </c>
      <c r="J77" s="122">
        <v>209</v>
      </c>
      <c r="K77" s="122">
        <v>203</v>
      </c>
      <c r="L77" s="122">
        <v>183</v>
      </c>
      <c r="M77" s="122">
        <v>117</v>
      </c>
      <c r="N77" s="123">
        <v>46</v>
      </c>
      <c r="O77" s="123">
        <v>19</v>
      </c>
      <c r="P77" s="123">
        <v>11</v>
      </c>
      <c r="Q77" s="123">
        <v>19</v>
      </c>
      <c r="R77" s="124"/>
      <c r="T77" s="93" t="str">
        <f>A79</f>
        <v>岐阜圏域(n = 617 )　　</v>
      </c>
      <c r="U77" s="84">
        <f>C80</f>
        <v>61.750405186385734</v>
      </c>
      <c r="V77" s="85">
        <f t="shared" ref="V77" si="259">D80</f>
        <v>57.536466774716367</v>
      </c>
      <c r="W77" s="85">
        <f t="shared" ref="W77" si="260">E80</f>
        <v>40.032414910858996</v>
      </c>
      <c r="X77" s="85">
        <f t="shared" ref="X77" si="261">F80</f>
        <v>20.097244732576986</v>
      </c>
      <c r="Y77" s="85">
        <f t="shared" ref="Y77" si="262">G80</f>
        <v>16.045380875202593</v>
      </c>
      <c r="Z77" s="85">
        <f t="shared" ref="Z77" si="263">H80</f>
        <v>13.938411669367909</v>
      </c>
      <c r="AA77" s="85">
        <f t="shared" ref="AA77" si="264">I80</f>
        <v>16.693679092382496</v>
      </c>
      <c r="AB77" s="86">
        <f t="shared" ref="AB77" si="265">J80</f>
        <v>12.80388978930308</v>
      </c>
      <c r="AC77" s="108">
        <f t="shared" ref="AC77" si="266">K80</f>
        <v>13.128038897893029</v>
      </c>
      <c r="AD77" s="85">
        <f t="shared" ref="AD77" si="267">L80</f>
        <v>12.479740680713128</v>
      </c>
      <c r="AE77" s="85">
        <f t="shared" ref="AE77" si="268">M80</f>
        <v>7.4554294975688817</v>
      </c>
      <c r="AF77" s="86">
        <f t="shared" ref="AF77" si="269">N80</f>
        <v>2.9173419773095626</v>
      </c>
      <c r="AG77" s="86">
        <f t="shared" ref="AG77" si="270">O80</f>
        <v>1.1345218800648298</v>
      </c>
      <c r="AH77" s="86">
        <f t="shared" ref="AH77" si="271">P80</f>
        <v>0.48622366288492713</v>
      </c>
      <c r="AI77" s="87">
        <f t="shared" ref="AI77" si="272">Q80</f>
        <v>1.2965964343598055</v>
      </c>
    </row>
    <row r="78" spans="1:35" ht="12.75" customHeight="1" x14ac:dyDescent="0.2">
      <c r="A78" s="270"/>
      <c r="B78" s="114">
        <f>B62</f>
        <v>100</v>
      </c>
      <c r="C78" s="125">
        <v>63.118811881188122</v>
      </c>
      <c r="D78" s="126">
        <v>55.198019801980202</v>
      </c>
      <c r="E78" s="126">
        <v>39.480198019801982</v>
      </c>
      <c r="F78" s="126">
        <v>18.564356435643564</v>
      </c>
      <c r="G78" s="126">
        <v>17.326732673267326</v>
      </c>
      <c r="H78" s="126">
        <v>14.542079207920791</v>
      </c>
      <c r="I78" s="127">
        <v>13.737623762376238</v>
      </c>
      <c r="J78" s="126">
        <v>12.933168316831683</v>
      </c>
      <c r="K78" s="126">
        <v>12.561881188118813</v>
      </c>
      <c r="L78" s="126">
        <v>11.324257425742575</v>
      </c>
      <c r="M78" s="126">
        <v>7.2400990099009892</v>
      </c>
      <c r="N78" s="127">
        <v>2.8465346534653468</v>
      </c>
      <c r="O78" s="127">
        <v>1.1757425742574257</v>
      </c>
      <c r="P78" s="127">
        <v>0.68069306930693074</v>
      </c>
      <c r="Q78" s="127">
        <v>1.1757425742574257</v>
      </c>
      <c r="R78" s="128"/>
      <c r="T78" s="95" t="str">
        <f>A81</f>
        <v>西濃圏域(n = 290 )　　</v>
      </c>
      <c r="U78" s="88">
        <f>C82</f>
        <v>68.620689655172413</v>
      </c>
      <c r="V78" s="89">
        <f t="shared" ref="V78" si="273">D82</f>
        <v>59.310344827586206</v>
      </c>
      <c r="W78" s="89">
        <f t="shared" ref="W78" si="274">E82</f>
        <v>36.206896551724135</v>
      </c>
      <c r="X78" s="89">
        <f t="shared" ref="X78" si="275">F82</f>
        <v>15.517241379310345</v>
      </c>
      <c r="Y78" s="89">
        <f t="shared" ref="Y78" si="276">G82</f>
        <v>17.241379310344829</v>
      </c>
      <c r="Z78" s="89">
        <f t="shared" ref="Z78" si="277">H82</f>
        <v>20</v>
      </c>
      <c r="AA78" s="89">
        <f t="shared" ref="AA78" si="278">I82</f>
        <v>14.13793103448276</v>
      </c>
      <c r="AB78" s="90">
        <f t="shared" ref="AB78" si="279">J82</f>
        <v>14.827586206896552</v>
      </c>
      <c r="AC78" s="109">
        <f t="shared" ref="AC78" si="280">K82</f>
        <v>13.103448275862069</v>
      </c>
      <c r="AD78" s="89">
        <f t="shared" ref="AD78" si="281">L82</f>
        <v>9.6551724137931032</v>
      </c>
      <c r="AE78" s="89">
        <f t="shared" ref="AE78" si="282">M82</f>
        <v>7.2413793103448283</v>
      </c>
      <c r="AF78" s="90">
        <f t="shared" ref="AF78" si="283">N82</f>
        <v>1.3793103448275863</v>
      </c>
      <c r="AG78" s="90">
        <f t="shared" ref="AG78" si="284">O82</f>
        <v>1.3793103448275863</v>
      </c>
      <c r="AH78" s="90">
        <f t="shared" ref="AH78" si="285">P82</f>
        <v>0.34482758620689657</v>
      </c>
      <c r="AI78" s="91">
        <f t="shared" ref="AI78" si="286">Q82</f>
        <v>0.68965517241379315</v>
      </c>
    </row>
    <row r="79" spans="1:35" ht="12.75" customHeight="1" x14ac:dyDescent="0.2">
      <c r="A79" s="269" t="str">
        <f>A63</f>
        <v>岐阜圏域(n = 617 )　　</v>
      </c>
      <c r="B79" s="113">
        <f t="shared" ref="B79:B88" si="287">B63</f>
        <v>617</v>
      </c>
      <c r="C79" s="129">
        <v>381</v>
      </c>
      <c r="D79" s="130">
        <v>355</v>
      </c>
      <c r="E79" s="130">
        <v>247</v>
      </c>
      <c r="F79" s="130">
        <v>124</v>
      </c>
      <c r="G79" s="130">
        <v>99</v>
      </c>
      <c r="H79" s="130">
        <v>86</v>
      </c>
      <c r="I79" s="140">
        <v>103</v>
      </c>
      <c r="J79" s="130">
        <v>79</v>
      </c>
      <c r="K79" s="130">
        <v>81</v>
      </c>
      <c r="L79" s="130">
        <v>77</v>
      </c>
      <c r="M79" s="130">
        <v>46</v>
      </c>
      <c r="N79" s="130">
        <v>18</v>
      </c>
      <c r="O79" s="140">
        <v>7</v>
      </c>
      <c r="P79" s="140">
        <v>3</v>
      </c>
      <c r="Q79" s="140">
        <v>8</v>
      </c>
      <c r="R79" s="131"/>
      <c r="T79" s="95" t="str">
        <f>A83</f>
        <v>中濃圏域(n = 300 )　　</v>
      </c>
      <c r="U79" s="88">
        <f>C84</f>
        <v>63</v>
      </c>
      <c r="V79" s="89">
        <f t="shared" ref="V79" si="288">D84</f>
        <v>61</v>
      </c>
      <c r="W79" s="89">
        <f t="shared" ref="W79" si="289">E84</f>
        <v>45.333333333333329</v>
      </c>
      <c r="X79" s="89">
        <f t="shared" ref="X79" si="290">F84</f>
        <v>22</v>
      </c>
      <c r="Y79" s="89">
        <f t="shared" ref="Y79" si="291">G84</f>
        <v>19</v>
      </c>
      <c r="Z79" s="89">
        <f t="shared" ref="Z79" si="292">H84</f>
        <v>13</v>
      </c>
      <c r="AA79" s="89">
        <f t="shared" ref="AA79" si="293">I84</f>
        <v>9.3333333333333339</v>
      </c>
      <c r="AB79" s="90">
        <f t="shared" ref="AB79" si="294">J84</f>
        <v>12.333333333333334</v>
      </c>
      <c r="AC79" s="109">
        <f t="shared" ref="AC79" si="295">K84</f>
        <v>11.666666666666666</v>
      </c>
      <c r="AD79" s="89">
        <f t="shared" ref="AD79" si="296">L84</f>
        <v>11.666666666666666</v>
      </c>
      <c r="AE79" s="89">
        <f t="shared" ref="AE79" si="297">M84</f>
        <v>4.666666666666667</v>
      </c>
      <c r="AF79" s="90">
        <f t="shared" ref="AF79" si="298">N84</f>
        <v>4</v>
      </c>
      <c r="AG79" s="90">
        <f t="shared" ref="AG79" si="299">O84</f>
        <v>0.66666666666666674</v>
      </c>
      <c r="AH79" s="90">
        <f t="shared" ref="AH79" si="300">P84</f>
        <v>0.66666666666666674</v>
      </c>
      <c r="AI79" s="91">
        <f t="shared" ref="AI79" si="301">Q84</f>
        <v>0.66666666666666674</v>
      </c>
    </row>
    <row r="80" spans="1:35" ht="12.75" customHeight="1" x14ac:dyDescent="0.2">
      <c r="A80" s="270"/>
      <c r="B80" s="114">
        <f t="shared" si="287"/>
        <v>38.180693069306933</v>
      </c>
      <c r="C80" s="125">
        <v>61.750405186385734</v>
      </c>
      <c r="D80" s="126">
        <v>57.536466774716367</v>
      </c>
      <c r="E80" s="126">
        <v>40.032414910858996</v>
      </c>
      <c r="F80" s="126">
        <v>20.097244732576986</v>
      </c>
      <c r="G80" s="126">
        <v>16.045380875202593</v>
      </c>
      <c r="H80" s="126">
        <v>13.938411669367909</v>
      </c>
      <c r="I80" s="127">
        <v>16.693679092382496</v>
      </c>
      <c r="J80" s="126">
        <v>12.80388978930308</v>
      </c>
      <c r="K80" s="126">
        <v>13.128038897893029</v>
      </c>
      <c r="L80" s="126">
        <v>12.479740680713128</v>
      </c>
      <c r="M80" s="126">
        <v>7.4554294975688817</v>
      </c>
      <c r="N80" s="126">
        <v>2.9173419773095626</v>
      </c>
      <c r="O80" s="127">
        <v>1.1345218800648298</v>
      </c>
      <c r="P80" s="127">
        <v>0.48622366288492713</v>
      </c>
      <c r="Q80" s="127">
        <v>1.2965964343598055</v>
      </c>
      <c r="R80" s="128"/>
      <c r="T80" s="95" t="str">
        <f>A85</f>
        <v>東濃圏域(n = 271 )　　</v>
      </c>
      <c r="U80" s="88">
        <f>C86</f>
        <v>66.789667896678964</v>
      </c>
      <c r="V80" s="89">
        <f t="shared" ref="V80" si="302">D86</f>
        <v>50.553505535055351</v>
      </c>
      <c r="W80" s="89">
        <f t="shared" ref="W80" si="303">E86</f>
        <v>41.328413284132843</v>
      </c>
      <c r="X80" s="89">
        <f t="shared" ref="X80" si="304">F86</f>
        <v>16.236162361623617</v>
      </c>
      <c r="Y80" s="89">
        <f t="shared" ref="Y80" si="305">G86</f>
        <v>19.926199261992618</v>
      </c>
      <c r="Z80" s="89">
        <f t="shared" ref="Z80" si="306">H86</f>
        <v>12.177121771217712</v>
      </c>
      <c r="AA80" s="89">
        <f t="shared" ref="AA80" si="307">I86</f>
        <v>11.439114391143912</v>
      </c>
      <c r="AB80" s="90">
        <f t="shared" ref="AB80" si="308">J86</f>
        <v>13.284132841328415</v>
      </c>
      <c r="AC80" s="109">
        <f t="shared" ref="AC80" si="309">K86</f>
        <v>13.653136531365314</v>
      </c>
      <c r="AD80" s="89">
        <f t="shared" ref="AD80" si="310">L86</f>
        <v>11.808118081180812</v>
      </c>
      <c r="AE80" s="89">
        <f t="shared" ref="AE80" si="311">M86</f>
        <v>10.701107011070111</v>
      </c>
      <c r="AF80" s="90">
        <f t="shared" ref="AF80" si="312">N86</f>
        <v>2.9520295202952029</v>
      </c>
      <c r="AG80" s="90">
        <f t="shared" ref="AG80" si="313">O86</f>
        <v>1.4760147601476015</v>
      </c>
      <c r="AH80" s="90">
        <f t="shared" ref="AH80" si="314">P86</f>
        <v>0.73800738007380073</v>
      </c>
      <c r="AI80" s="91">
        <f t="shared" ref="AI80" si="315">Q86</f>
        <v>1.107011070110701</v>
      </c>
    </row>
    <row r="81" spans="1:35" ht="13.5" customHeight="1" x14ac:dyDescent="0.2">
      <c r="A81" s="269" t="str">
        <f>A65</f>
        <v>西濃圏域(n = 290 )　　</v>
      </c>
      <c r="B81" s="113">
        <f t="shared" si="287"/>
        <v>290</v>
      </c>
      <c r="C81" s="129">
        <v>199</v>
      </c>
      <c r="D81" s="130">
        <v>172</v>
      </c>
      <c r="E81" s="130">
        <v>105</v>
      </c>
      <c r="F81" s="130">
        <v>45</v>
      </c>
      <c r="G81" s="130">
        <v>50</v>
      </c>
      <c r="H81" s="130">
        <v>58</v>
      </c>
      <c r="I81" s="140">
        <v>41</v>
      </c>
      <c r="J81" s="130">
        <v>43</v>
      </c>
      <c r="K81" s="130">
        <v>38</v>
      </c>
      <c r="L81" s="130">
        <v>28</v>
      </c>
      <c r="M81" s="130">
        <v>21</v>
      </c>
      <c r="N81" s="130">
        <v>4</v>
      </c>
      <c r="O81" s="140">
        <v>4</v>
      </c>
      <c r="P81" s="140">
        <v>1</v>
      </c>
      <c r="Q81" s="140">
        <v>2</v>
      </c>
      <c r="R81" s="131"/>
      <c r="T81" s="94" t="str">
        <f>A87</f>
        <v>飛騨圏域(n = 106 )　　</v>
      </c>
      <c r="U81" s="78">
        <f>C88</f>
        <v>66.037735849056602</v>
      </c>
      <c r="V81" s="79">
        <f t="shared" ref="V81" si="316">D88</f>
        <v>42.452830188679243</v>
      </c>
      <c r="W81" s="79">
        <f t="shared" ref="W81" si="317">E88</f>
        <v>35.849056603773583</v>
      </c>
      <c r="X81" s="79">
        <f t="shared" ref="X81" si="318">F88</f>
        <v>19.811320754716981</v>
      </c>
      <c r="Y81" s="79">
        <f t="shared" ref="Y81" si="319">G88</f>
        <v>18.867924528301888</v>
      </c>
      <c r="Z81" s="79">
        <f t="shared" ref="Z81" si="320">H88</f>
        <v>17.924528301886792</v>
      </c>
      <c r="AA81" s="79">
        <f t="shared" ref="AA81" si="321">I88</f>
        <v>17.924528301886792</v>
      </c>
      <c r="AB81" s="80">
        <f t="shared" ref="AB81" si="322">J88</f>
        <v>13.20754716981132</v>
      </c>
      <c r="AC81" s="107">
        <f t="shared" ref="AC81" si="323">K88</f>
        <v>11.320754716981133</v>
      </c>
      <c r="AD81" s="79">
        <f t="shared" ref="AD81" si="324">L88</f>
        <v>10.377358490566039</v>
      </c>
      <c r="AE81" s="79">
        <f t="shared" ref="AE81" si="325">M88</f>
        <v>6.6037735849056602</v>
      </c>
      <c r="AF81" s="80">
        <f t="shared" ref="AF81" si="326">N88</f>
        <v>3.7735849056603774</v>
      </c>
      <c r="AG81" s="80">
        <f t="shared" ref="AG81" si="327">O88</f>
        <v>1.8867924528301887</v>
      </c>
      <c r="AH81" s="80">
        <f t="shared" ref="AH81" si="328">P88</f>
        <v>2.8301886792452833</v>
      </c>
      <c r="AI81" s="81">
        <f t="shared" ref="AI81" si="329">Q88</f>
        <v>3.7735849056603774</v>
      </c>
    </row>
    <row r="82" spans="1:35" ht="13.5" customHeight="1" x14ac:dyDescent="0.2">
      <c r="A82" s="270"/>
      <c r="B82" s="114">
        <f t="shared" si="287"/>
        <v>17.945544554455445</v>
      </c>
      <c r="C82" s="125">
        <v>68.620689655172413</v>
      </c>
      <c r="D82" s="126">
        <v>59.310344827586206</v>
      </c>
      <c r="E82" s="126">
        <v>36.206896551724135</v>
      </c>
      <c r="F82" s="126">
        <v>15.517241379310345</v>
      </c>
      <c r="G82" s="126">
        <v>17.241379310344829</v>
      </c>
      <c r="H82" s="126">
        <v>20</v>
      </c>
      <c r="I82" s="127">
        <v>14.13793103448276</v>
      </c>
      <c r="J82" s="126">
        <v>14.827586206896552</v>
      </c>
      <c r="K82" s="126">
        <v>13.103448275862069</v>
      </c>
      <c r="L82" s="126">
        <v>9.6551724137931032</v>
      </c>
      <c r="M82" s="126">
        <v>7.2413793103448283</v>
      </c>
      <c r="N82" s="126">
        <v>1.3793103448275863</v>
      </c>
      <c r="O82" s="127">
        <v>1.3793103448275863</v>
      </c>
      <c r="P82" s="127">
        <v>0.34482758620689657</v>
      </c>
      <c r="Q82" s="127">
        <v>0.68965517241379315</v>
      </c>
      <c r="R82" s="128"/>
    </row>
    <row r="83" spans="1:35" x14ac:dyDescent="0.2">
      <c r="A83" s="269" t="str">
        <f>A67</f>
        <v>中濃圏域(n = 300 )　　</v>
      </c>
      <c r="B83" s="113">
        <f t="shared" si="287"/>
        <v>300</v>
      </c>
      <c r="C83" s="129">
        <v>189</v>
      </c>
      <c r="D83" s="130">
        <v>183</v>
      </c>
      <c r="E83" s="130">
        <v>136</v>
      </c>
      <c r="F83" s="130">
        <v>66</v>
      </c>
      <c r="G83" s="130">
        <v>57</v>
      </c>
      <c r="H83" s="130">
        <v>39</v>
      </c>
      <c r="I83" s="140">
        <v>28</v>
      </c>
      <c r="J83" s="130">
        <v>37</v>
      </c>
      <c r="K83" s="130">
        <v>35</v>
      </c>
      <c r="L83" s="130">
        <v>35</v>
      </c>
      <c r="M83" s="130">
        <v>14</v>
      </c>
      <c r="N83" s="130">
        <v>12</v>
      </c>
      <c r="O83" s="140">
        <v>2</v>
      </c>
      <c r="P83" s="140">
        <v>2</v>
      </c>
      <c r="Q83" s="140">
        <v>2</v>
      </c>
      <c r="R83" s="131"/>
    </row>
    <row r="84" spans="1:35" x14ac:dyDescent="0.2">
      <c r="A84" s="270"/>
      <c r="B84" s="114">
        <f t="shared" si="287"/>
        <v>18.564356435643564</v>
      </c>
      <c r="C84" s="125">
        <v>63</v>
      </c>
      <c r="D84" s="126">
        <v>61</v>
      </c>
      <c r="E84" s="126">
        <v>45.333333333333329</v>
      </c>
      <c r="F84" s="126">
        <v>22</v>
      </c>
      <c r="G84" s="126">
        <v>19</v>
      </c>
      <c r="H84" s="126">
        <v>13</v>
      </c>
      <c r="I84" s="127">
        <v>9.3333333333333339</v>
      </c>
      <c r="J84" s="126">
        <v>12.333333333333334</v>
      </c>
      <c r="K84" s="126">
        <v>11.666666666666666</v>
      </c>
      <c r="L84" s="126">
        <v>11.666666666666666</v>
      </c>
      <c r="M84" s="126">
        <v>4.666666666666667</v>
      </c>
      <c r="N84" s="126">
        <v>4</v>
      </c>
      <c r="O84" s="127">
        <v>0.66666666666666674</v>
      </c>
      <c r="P84" s="127">
        <v>0.66666666666666674</v>
      </c>
      <c r="Q84" s="127">
        <v>0.66666666666666674</v>
      </c>
      <c r="R84" s="128"/>
    </row>
    <row r="85" spans="1:35" x14ac:dyDescent="0.2">
      <c r="A85" s="269" t="str">
        <f>A69</f>
        <v>東濃圏域(n = 271 )　　</v>
      </c>
      <c r="B85" s="113">
        <f t="shared" si="287"/>
        <v>271</v>
      </c>
      <c r="C85" s="129">
        <v>181</v>
      </c>
      <c r="D85" s="130">
        <v>137</v>
      </c>
      <c r="E85" s="130">
        <v>112</v>
      </c>
      <c r="F85" s="130">
        <v>44</v>
      </c>
      <c r="G85" s="130">
        <v>54</v>
      </c>
      <c r="H85" s="130">
        <v>33</v>
      </c>
      <c r="I85" s="140">
        <v>31</v>
      </c>
      <c r="J85" s="130">
        <v>36</v>
      </c>
      <c r="K85" s="130">
        <v>37</v>
      </c>
      <c r="L85" s="130">
        <v>32</v>
      </c>
      <c r="M85" s="130">
        <v>29</v>
      </c>
      <c r="N85" s="130">
        <v>8</v>
      </c>
      <c r="O85" s="140">
        <v>4</v>
      </c>
      <c r="P85" s="140">
        <v>2</v>
      </c>
      <c r="Q85" s="140">
        <v>3</v>
      </c>
      <c r="R85" s="131"/>
    </row>
    <row r="86" spans="1:35" x14ac:dyDescent="0.2">
      <c r="A86" s="270"/>
      <c r="B86" s="114">
        <f t="shared" si="287"/>
        <v>16.769801980198022</v>
      </c>
      <c r="C86" s="125">
        <v>66.789667896678964</v>
      </c>
      <c r="D86" s="126">
        <v>50.553505535055351</v>
      </c>
      <c r="E86" s="126">
        <v>41.328413284132843</v>
      </c>
      <c r="F86" s="126">
        <v>16.236162361623617</v>
      </c>
      <c r="G86" s="126">
        <v>19.926199261992618</v>
      </c>
      <c r="H86" s="126">
        <v>12.177121771217712</v>
      </c>
      <c r="I86" s="127">
        <v>11.439114391143912</v>
      </c>
      <c r="J86" s="126">
        <v>13.284132841328415</v>
      </c>
      <c r="K86" s="126">
        <v>13.653136531365314</v>
      </c>
      <c r="L86" s="126">
        <v>11.808118081180812</v>
      </c>
      <c r="M86" s="126">
        <v>10.701107011070111</v>
      </c>
      <c r="N86" s="126">
        <v>2.9520295202952029</v>
      </c>
      <c r="O86" s="127">
        <v>1.4760147601476015</v>
      </c>
      <c r="P86" s="127">
        <v>0.73800738007380073</v>
      </c>
      <c r="Q86" s="127">
        <v>1.107011070110701</v>
      </c>
      <c r="R86" s="128"/>
    </row>
    <row r="87" spans="1:35" x14ac:dyDescent="0.2">
      <c r="A87" s="269" t="str">
        <f>A71</f>
        <v>飛騨圏域(n = 106 )　　</v>
      </c>
      <c r="B87" s="113">
        <f t="shared" si="287"/>
        <v>106</v>
      </c>
      <c r="C87" s="129">
        <v>70</v>
      </c>
      <c r="D87" s="130">
        <v>45</v>
      </c>
      <c r="E87" s="130">
        <v>38</v>
      </c>
      <c r="F87" s="130">
        <v>21</v>
      </c>
      <c r="G87" s="130">
        <v>20</v>
      </c>
      <c r="H87" s="130">
        <v>19</v>
      </c>
      <c r="I87" s="140">
        <v>19</v>
      </c>
      <c r="J87" s="130">
        <v>14</v>
      </c>
      <c r="K87" s="130">
        <v>12</v>
      </c>
      <c r="L87" s="130">
        <v>11</v>
      </c>
      <c r="M87" s="130">
        <v>7</v>
      </c>
      <c r="N87" s="130">
        <v>4</v>
      </c>
      <c r="O87" s="140">
        <v>2</v>
      </c>
      <c r="P87" s="140">
        <v>3</v>
      </c>
      <c r="Q87" s="140">
        <v>4</v>
      </c>
      <c r="R87" s="131"/>
    </row>
    <row r="88" spans="1:35" x14ac:dyDescent="0.2">
      <c r="A88" s="270"/>
      <c r="B88" s="114">
        <f t="shared" si="287"/>
        <v>6.5594059405940595</v>
      </c>
      <c r="C88" s="125">
        <v>66.037735849056602</v>
      </c>
      <c r="D88" s="126">
        <v>42.452830188679243</v>
      </c>
      <c r="E88" s="126">
        <v>35.849056603773583</v>
      </c>
      <c r="F88" s="126">
        <v>19.811320754716981</v>
      </c>
      <c r="G88" s="126">
        <v>18.867924528301888</v>
      </c>
      <c r="H88" s="126">
        <v>17.924528301886792</v>
      </c>
      <c r="I88" s="127">
        <v>17.924528301886792</v>
      </c>
      <c r="J88" s="126">
        <v>13.20754716981132</v>
      </c>
      <c r="K88" s="126">
        <v>11.320754716981133</v>
      </c>
      <c r="L88" s="126">
        <v>10.377358490566039</v>
      </c>
      <c r="M88" s="126">
        <v>6.6037735849056602</v>
      </c>
      <c r="N88" s="126">
        <v>3.7735849056603774</v>
      </c>
      <c r="O88" s="127">
        <v>1.8867924528301887</v>
      </c>
      <c r="P88" s="127">
        <v>2.8301886792452833</v>
      </c>
      <c r="Q88" s="127">
        <v>3.7735849056603774</v>
      </c>
      <c r="R88" s="128"/>
    </row>
    <row r="90" spans="1:35" x14ac:dyDescent="0.2">
      <c r="A90" s="3" t="s">
        <v>163</v>
      </c>
      <c r="B90" s="1" t="str">
        <f>B59</f>
        <v>今後のくらしの中で重視していきたいこと</v>
      </c>
      <c r="C90" s="8">
        <v>1</v>
      </c>
      <c r="D90" s="9">
        <v>2</v>
      </c>
      <c r="E90" s="8">
        <v>10</v>
      </c>
      <c r="F90" s="8">
        <v>13</v>
      </c>
      <c r="G90" s="8">
        <v>5</v>
      </c>
      <c r="H90" s="9">
        <v>4</v>
      </c>
      <c r="I90" s="8">
        <v>12</v>
      </c>
      <c r="J90" s="8">
        <v>7</v>
      </c>
      <c r="K90" s="8">
        <v>9</v>
      </c>
      <c r="L90" s="8">
        <v>6</v>
      </c>
      <c r="M90" s="8">
        <v>11</v>
      </c>
      <c r="N90" s="8">
        <v>8</v>
      </c>
      <c r="O90" s="8">
        <v>3</v>
      </c>
      <c r="P90" s="8">
        <v>14</v>
      </c>
      <c r="Q90" s="8">
        <v>15</v>
      </c>
    </row>
    <row r="91" spans="1:35" ht="32.4" x14ac:dyDescent="0.2">
      <c r="A91" s="12" t="s">
        <v>29</v>
      </c>
      <c r="B91" s="14" t="str">
        <f>B60</f>
        <v>調査数</v>
      </c>
      <c r="C91" s="15" t="str">
        <f t="shared" ref="C91:Q91" si="330">C60</f>
        <v>健康・体力づくり</v>
      </c>
      <c r="D91" s="16" t="str">
        <f t="shared" si="330"/>
        <v>家計の安定・充実</v>
      </c>
      <c r="E91" s="16" t="str">
        <f t="shared" si="330"/>
        <v>知識や教養の向上</v>
      </c>
      <c r="F91" s="16" t="str">
        <f t="shared" si="330"/>
        <v>社会的地位の向上</v>
      </c>
      <c r="G91" s="16" t="str">
        <f t="shared" si="330"/>
        <v>仕事（家業・学業を含む）</v>
      </c>
      <c r="H91" s="16" t="str">
        <f t="shared" si="330"/>
        <v>趣味・レジャー</v>
      </c>
      <c r="I91" s="17" t="str">
        <f t="shared" si="330"/>
        <v>ボランティアや地域活動</v>
      </c>
      <c r="J91" s="16" t="str">
        <f t="shared" si="330"/>
        <v>家族との団らん</v>
      </c>
      <c r="K91" s="16" t="str">
        <f t="shared" si="330"/>
        <v>家族の介護</v>
      </c>
      <c r="L91" s="16" t="str">
        <f t="shared" si="330"/>
        <v>子育て・子どもの教育</v>
      </c>
      <c r="M91" s="16" t="str">
        <f t="shared" si="330"/>
        <v>衣・食生活の充実</v>
      </c>
      <c r="N91" s="17" t="str">
        <f t="shared" si="330"/>
        <v>住まいの改善・充実</v>
      </c>
      <c r="O91" s="17" t="str">
        <f t="shared" si="330"/>
        <v>老後の生活への準備</v>
      </c>
      <c r="P91" s="17" t="str">
        <f t="shared" si="330"/>
        <v>その他</v>
      </c>
      <c r="Q91" s="17" t="str">
        <f t="shared" si="330"/>
        <v>特にない</v>
      </c>
      <c r="R91" s="18"/>
      <c r="S91" s="103" t="s">
        <v>118</v>
      </c>
      <c r="T91" s="202"/>
    </row>
    <row r="92" spans="1:35" x14ac:dyDescent="0.2">
      <c r="A92" s="279" t="str">
        <f>'問3M（表）'!A92:A93</f>
        <v>全体(n = 1,616 )　　</v>
      </c>
      <c r="B92" s="34">
        <f>'問3M（表）'!B92</f>
        <v>1616</v>
      </c>
      <c r="C92" s="31">
        <f t="shared" ref="C92:Q92" si="331">SUM(C94,C96,C98,C100,C102,C104,C106,C108,C110)</f>
        <v>1031</v>
      </c>
      <c r="D92" s="32">
        <f t="shared" si="331"/>
        <v>900</v>
      </c>
      <c r="E92" s="32">
        <f t="shared" si="331"/>
        <v>120</v>
      </c>
      <c r="F92" s="32">
        <f t="shared" si="331"/>
        <v>19</v>
      </c>
      <c r="G92" s="32">
        <f t="shared" si="331"/>
        <v>307</v>
      </c>
      <c r="H92" s="32">
        <f t="shared" si="331"/>
        <v>285</v>
      </c>
      <c r="I92" s="32">
        <f t="shared" si="331"/>
        <v>45</v>
      </c>
      <c r="J92" s="32">
        <f t="shared" si="331"/>
        <v>233</v>
      </c>
      <c r="K92" s="32">
        <f t="shared" si="331"/>
        <v>216</v>
      </c>
      <c r="L92" s="32">
        <f t="shared" si="331"/>
        <v>225</v>
      </c>
      <c r="M92" s="32">
        <f t="shared" si="331"/>
        <v>186</v>
      </c>
      <c r="N92" s="32">
        <f t="shared" si="331"/>
        <v>206</v>
      </c>
      <c r="O92" s="32">
        <f t="shared" si="331"/>
        <v>641</v>
      </c>
      <c r="P92" s="32">
        <f t="shared" si="331"/>
        <v>11</v>
      </c>
      <c r="Q92" s="32">
        <f t="shared" si="331"/>
        <v>20</v>
      </c>
      <c r="R92" s="33"/>
      <c r="S92" s="104">
        <f>SUM($C92:R92)</f>
        <v>4445</v>
      </c>
      <c r="T92" s="166"/>
    </row>
    <row r="93" spans="1:35" x14ac:dyDescent="0.2">
      <c r="A93" s="280"/>
      <c r="B93" s="35">
        <v>100</v>
      </c>
      <c r="C93" s="20">
        <f t="shared" ref="C93" si="332">C92/$B92*100</f>
        <v>63.799504950495049</v>
      </c>
      <c r="D93" s="207">
        <f t="shared" ref="D93" si="333">D92/$B92*100</f>
        <v>55.693069306930695</v>
      </c>
      <c r="E93" s="207">
        <f t="shared" ref="E93" si="334">E92/$B92*100</f>
        <v>7.4257425742574252</v>
      </c>
      <c r="F93" s="207">
        <f t="shared" ref="F93" si="335">F92/$B92*100</f>
        <v>1.1757425742574257</v>
      </c>
      <c r="G93" s="207">
        <f t="shared" ref="G93" si="336">G92/$B92*100</f>
        <v>18.997524752475247</v>
      </c>
      <c r="H93" s="207">
        <f t="shared" ref="H93" si="337">H92/$B92*100</f>
        <v>17.636138613861384</v>
      </c>
      <c r="I93" s="207">
        <f t="shared" ref="I93" si="338">I92/$B92*100</f>
        <v>2.7846534653465347</v>
      </c>
      <c r="J93" s="207">
        <f t="shared" ref="J93" si="339">J92/$B92*100</f>
        <v>14.418316831683168</v>
      </c>
      <c r="K93" s="207">
        <f t="shared" ref="K93" si="340">K92/$B92*100</f>
        <v>13.366336633663368</v>
      </c>
      <c r="L93" s="207">
        <f t="shared" ref="L93" si="341">L92/$B92*100</f>
        <v>13.923267326732674</v>
      </c>
      <c r="M93" s="207">
        <f t="shared" ref="M93" si="342">M92/$B92*100</f>
        <v>11.509900990099011</v>
      </c>
      <c r="N93" s="207">
        <f t="shared" ref="N93" si="343">N92/$B92*100</f>
        <v>12.747524752475247</v>
      </c>
      <c r="O93" s="207">
        <f t="shared" ref="O93" si="344">O92/$B92*100</f>
        <v>39.665841584158414</v>
      </c>
      <c r="P93" s="207">
        <f t="shared" ref="P93" si="345">P92/$B92*100</f>
        <v>0.68069306930693074</v>
      </c>
      <c r="Q93" s="207">
        <f t="shared" ref="Q93" si="346">Q92/$B92*100</f>
        <v>1.2376237623762376</v>
      </c>
      <c r="R93" s="208"/>
      <c r="S93" s="104"/>
    </row>
    <row r="94" spans="1:35" ht="13.5" customHeight="1" x14ac:dyDescent="0.2">
      <c r="A94" s="279" t="str">
        <f>'問3M（表）'!A94:A95</f>
        <v>自営業(n = 175 )　　</v>
      </c>
      <c r="B94" s="34">
        <f>'問3M（表）'!B94</f>
        <v>175</v>
      </c>
      <c r="C94" s="31">
        <v>115</v>
      </c>
      <c r="D94" s="32">
        <v>91</v>
      </c>
      <c r="E94" s="32">
        <v>15</v>
      </c>
      <c r="F94" s="32">
        <v>3</v>
      </c>
      <c r="G94" s="32">
        <v>66</v>
      </c>
      <c r="H94" s="32">
        <v>16</v>
      </c>
      <c r="I94" s="32">
        <v>4</v>
      </c>
      <c r="J94" s="32">
        <v>15</v>
      </c>
      <c r="K94" s="32">
        <v>19</v>
      </c>
      <c r="L94" s="32">
        <v>12</v>
      </c>
      <c r="M94" s="32">
        <v>16</v>
      </c>
      <c r="N94" s="32">
        <v>26</v>
      </c>
      <c r="O94" s="32">
        <v>78</v>
      </c>
      <c r="P94" s="32">
        <v>2</v>
      </c>
      <c r="Q94" s="32">
        <v>5</v>
      </c>
      <c r="R94" s="33"/>
      <c r="S94" s="104">
        <f>SUM($C94:R94)</f>
        <v>483</v>
      </c>
      <c r="T94" s="166"/>
      <c r="U94" t="str">
        <f>" 自営業（N = "&amp;S94&amp;" : n = "&amp;B94&amp;"）"</f>
        <v xml:space="preserve"> 自営業（N = 483 : n = 175）</v>
      </c>
    </row>
    <row r="95" spans="1:35" x14ac:dyDescent="0.2">
      <c r="A95" s="280"/>
      <c r="B95" s="20">
        <f>B94/$B$92*100</f>
        <v>10.829207920792079</v>
      </c>
      <c r="C95" s="20">
        <f t="shared" ref="C95" si="347">C94/$B94*100</f>
        <v>65.714285714285708</v>
      </c>
      <c r="D95" s="207">
        <f t="shared" ref="D95" si="348">D94/$B94*100</f>
        <v>52</v>
      </c>
      <c r="E95" s="207">
        <f t="shared" ref="E95" si="349">E94/$B94*100</f>
        <v>8.5714285714285712</v>
      </c>
      <c r="F95" s="207">
        <f t="shared" ref="F95" si="350">F94/$B94*100</f>
        <v>1.7142857142857144</v>
      </c>
      <c r="G95" s="207">
        <f t="shared" ref="G95" si="351">G94/$B94*100</f>
        <v>37.714285714285715</v>
      </c>
      <c r="H95" s="207">
        <f t="shared" ref="H95" si="352">H94/$B94*100</f>
        <v>9.1428571428571423</v>
      </c>
      <c r="I95" s="207">
        <f t="shared" ref="I95" si="353">I94/$B94*100</f>
        <v>2.2857142857142856</v>
      </c>
      <c r="J95" s="207">
        <f t="shared" ref="J95" si="354">J94/$B94*100</f>
        <v>8.5714285714285712</v>
      </c>
      <c r="K95" s="207">
        <f t="shared" ref="K95" si="355">K94/$B94*100</f>
        <v>10.857142857142858</v>
      </c>
      <c r="L95" s="207">
        <f t="shared" ref="L95" si="356">L94/$B94*100</f>
        <v>6.8571428571428577</v>
      </c>
      <c r="M95" s="207">
        <f t="shared" ref="M95" si="357">M94/$B94*100</f>
        <v>9.1428571428571423</v>
      </c>
      <c r="N95" s="207">
        <f t="shared" ref="N95" si="358">N94/$B94*100</f>
        <v>14.857142857142858</v>
      </c>
      <c r="O95" s="207">
        <f t="shared" ref="O95" si="359">O94/$B94*100</f>
        <v>44.571428571428569</v>
      </c>
      <c r="P95" s="207">
        <f t="shared" ref="P95" si="360">P94/$B94*100</f>
        <v>1.1428571428571428</v>
      </c>
      <c r="Q95" s="207">
        <f t="shared" ref="Q95" si="361">Q94/$B94*100</f>
        <v>2.8571428571428572</v>
      </c>
      <c r="R95" s="208"/>
      <c r="S95" s="104"/>
    </row>
    <row r="96" spans="1:35" ht="13.5" customHeight="1" x14ac:dyDescent="0.2">
      <c r="A96" s="279" t="str">
        <f>'問3M（表）'!A96:A97</f>
        <v>自由業(※1)(n = 12 )　　</v>
      </c>
      <c r="B96" s="34">
        <f>'問3M（表）'!B96</f>
        <v>12</v>
      </c>
      <c r="C96" s="31">
        <v>10</v>
      </c>
      <c r="D96" s="32">
        <v>6</v>
      </c>
      <c r="E96" s="32">
        <v>0</v>
      </c>
      <c r="F96" s="32">
        <v>0</v>
      </c>
      <c r="G96" s="32">
        <v>2</v>
      </c>
      <c r="H96" s="32">
        <v>3</v>
      </c>
      <c r="I96" s="32">
        <v>0</v>
      </c>
      <c r="J96" s="32">
        <v>2</v>
      </c>
      <c r="K96" s="32">
        <v>2</v>
      </c>
      <c r="L96" s="32">
        <v>1</v>
      </c>
      <c r="M96" s="32">
        <v>1</v>
      </c>
      <c r="N96" s="32">
        <v>2</v>
      </c>
      <c r="O96" s="32">
        <v>3</v>
      </c>
      <c r="P96" s="32">
        <v>0</v>
      </c>
      <c r="Q96" s="32">
        <v>0</v>
      </c>
      <c r="R96" s="33"/>
      <c r="S96" s="104">
        <f>SUM($C96:R96)</f>
        <v>32</v>
      </c>
      <c r="T96" s="166"/>
      <c r="U96" t="str">
        <f>" 自由業（N = "&amp;S96&amp;" : n = "&amp;B96&amp;"）"</f>
        <v xml:space="preserve"> 自由業（N = 32 : n = 12）</v>
      </c>
    </row>
    <row r="97" spans="1:21" x14ac:dyDescent="0.2">
      <c r="A97" s="280"/>
      <c r="B97" s="20">
        <f>B96/$B$92*100</f>
        <v>0.74257425742574257</v>
      </c>
      <c r="C97" s="20">
        <f t="shared" ref="C97" si="362">C96/$B96*100</f>
        <v>83.333333333333343</v>
      </c>
      <c r="D97" s="207">
        <f t="shared" ref="D97" si="363">D96/$B96*100</f>
        <v>50</v>
      </c>
      <c r="E97" s="207">
        <f t="shared" ref="E97" si="364">E96/$B96*100</f>
        <v>0</v>
      </c>
      <c r="F97" s="207">
        <f t="shared" ref="F97" si="365">F96/$B96*100</f>
        <v>0</v>
      </c>
      <c r="G97" s="207">
        <f t="shared" ref="G97" si="366">G96/$B96*100</f>
        <v>16.666666666666664</v>
      </c>
      <c r="H97" s="207">
        <f t="shared" ref="H97" si="367">H96/$B96*100</f>
        <v>25</v>
      </c>
      <c r="I97" s="207">
        <f t="shared" ref="I97" si="368">I96/$B96*100</f>
        <v>0</v>
      </c>
      <c r="J97" s="207">
        <f t="shared" ref="J97" si="369">J96/$B96*100</f>
        <v>16.666666666666664</v>
      </c>
      <c r="K97" s="207">
        <f t="shared" ref="K97" si="370">K96/$B96*100</f>
        <v>16.666666666666664</v>
      </c>
      <c r="L97" s="207">
        <f t="shared" ref="L97" si="371">L96/$B96*100</f>
        <v>8.3333333333333321</v>
      </c>
      <c r="M97" s="207">
        <f t="shared" ref="M97" si="372">M96/$B96*100</f>
        <v>8.3333333333333321</v>
      </c>
      <c r="N97" s="207">
        <f t="shared" ref="N97" si="373">N96/$B96*100</f>
        <v>16.666666666666664</v>
      </c>
      <c r="O97" s="207">
        <f t="shared" ref="O97" si="374">O96/$B96*100</f>
        <v>25</v>
      </c>
      <c r="P97" s="207">
        <f t="shared" ref="P97" si="375">P96/$B96*100</f>
        <v>0</v>
      </c>
      <c r="Q97" s="207">
        <f t="shared" ref="Q97" si="376">Q96/$B96*100</f>
        <v>0</v>
      </c>
      <c r="R97" s="208"/>
      <c r="S97" s="104"/>
    </row>
    <row r="98" spans="1:21" ht="13.5" customHeight="1" x14ac:dyDescent="0.2">
      <c r="A98" s="279" t="str">
        <f>'問3M（表）'!A98:A99</f>
        <v>会社・団体役員(n = 171 )　　</v>
      </c>
      <c r="B98" s="34">
        <f>'問3M（表）'!B98</f>
        <v>171</v>
      </c>
      <c r="C98" s="31">
        <v>100</v>
      </c>
      <c r="D98" s="32">
        <v>95</v>
      </c>
      <c r="E98" s="32">
        <v>17</v>
      </c>
      <c r="F98" s="32">
        <v>1</v>
      </c>
      <c r="G98" s="32">
        <v>46</v>
      </c>
      <c r="H98" s="32">
        <v>39</v>
      </c>
      <c r="I98" s="32">
        <v>3</v>
      </c>
      <c r="J98" s="32">
        <v>29</v>
      </c>
      <c r="K98" s="32">
        <v>21</v>
      </c>
      <c r="L98" s="32">
        <v>32</v>
      </c>
      <c r="M98" s="32">
        <v>22</v>
      </c>
      <c r="N98" s="32">
        <v>17</v>
      </c>
      <c r="O98" s="32">
        <v>55</v>
      </c>
      <c r="P98" s="32">
        <v>3</v>
      </c>
      <c r="Q98" s="32">
        <v>1</v>
      </c>
      <c r="R98" s="33"/>
      <c r="S98" s="104">
        <f>SUM($C98:R98)</f>
        <v>481</v>
      </c>
      <c r="T98" s="166"/>
      <c r="U98" t="str">
        <f>" 会社・団体役員（N = "&amp;S98&amp;" : n = "&amp;B98&amp;"）"</f>
        <v xml:space="preserve"> 会社・団体役員（N = 481 : n = 171）</v>
      </c>
    </row>
    <row r="99" spans="1:21" x14ac:dyDescent="0.2">
      <c r="A99" s="280"/>
      <c r="B99" s="20">
        <f>B98/$B$92*100</f>
        <v>10.581683168316831</v>
      </c>
      <c r="C99" s="20">
        <f t="shared" ref="C99" si="377">C98/$B98*100</f>
        <v>58.479532163742689</v>
      </c>
      <c r="D99" s="207">
        <f t="shared" ref="D99" si="378">D98/$B98*100</f>
        <v>55.555555555555557</v>
      </c>
      <c r="E99" s="207">
        <f t="shared" ref="E99" si="379">E98/$B98*100</f>
        <v>9.9415204678362574</v>
      </c>
      <c r="F99" s="207">
        <f t="shared" ref="F99" si="380">F98/$B98*100</f>
        <v>0.58479532163742687</v>
      </c>
      <c r="G99" s="207">
        <f t="shared" ref="G99" si="381">G98/$B98*100</f>
        <v>26.900584795321635</v>
      </c>
      <c r="H99" s="207">
        <f t="shared" ref="H99" si="382">H98/$B98*100</f>
        <v>22.807017543859647</v>
      </c>
      <c r="I99" s="207">
        <f t="shared" ref="I99" si="383">I98/$B98*100</f>
        <v>1.7543859649122806</v>
      </c>
      <c r="J99" s="207">
        <f t="shared" ref="J99" si="384">J98/$B98*100</f>
        <v>16.959064327485379</v>
      </c>
      <c r="K99" s="207">
        <f t="shared" ref="K99" si="385">K98/$B98*100</f>
        <v>12.280701754385964</v>
      </c>
      <c r="L99" s="207">
        <f t="shared" ref="L99" si="386">L98/$B98*100</f>
        <v>18.71345029239766</v>
      </c>
      <c r="M99" s="207">
        <f t="shared" ref="M99" si="387">M98/$B98*100</f>
        <v>12.865497076023392</v>
      </c>
      <c r="N99" s="207">
        <f t="shared" ref="N99" si="388">N98/$B98*100</f>
        <v>9.9415204678362574</v>
      </c>
      <c r="O99" s="207">
        <f t="shared" ref="O99" si="389">O98/$B98*100</f>
        <v>32.163742690058477</v>
      </c>
      <c r="P99" s="207">
        <f t="shared" ref="P99" si="390">P98/$B98*100</f>
        <v>1.7543859649122806</v>
      </c>
      <c r="Q99" s="207">
        <f t="shared" ref="Q99" si="391">Q98/$B98*100</f>
        <v>0.58479532163742687</v>
      </c>
      <c r="R99" s="208"/>
      <c r="S99" s="195"/>
    </row>
    <row r="100" spans="1:21" ht="13.5" customHeight="1" x14ac:dyDescent="0.2">
      <c r="A100" s="279" t="str">
        <f>'問3M（表）'!A100:A101</f>
        <v>正規の従業員・職員(n = 423 )　　</v>
      </c>
      <c r="B100" s="34">
        <f>'問3M（表）'!B100</f>
        <v>423</v>
      </c>
      <c r="C100" s="31">
        <v>232</v>
      </c>
      <c r="D100" s="32">
        <v>261</v>
      </c>
      <c r="E100" s="32">
        <v>28</v>
      </c>
      <c r="F100" s="32">
        <v>4</v>
      </c>
      <c r="G100" s="32">
        <v>96</v>
      </c>
      <c r="H100" s="32">
        <v>102</v>
      </c>
      <c r="I100" s="32">
        <v>5</v>
      </c>
      <c r="J100" s="32">
        <v>80</v>
      </c>
      <c r="K100" s="32">
        <v>56</v>
      </c>
      <c r="L100" s="32">
        <v>88</v>
      </c>
      <c r="M100" s="32">
        <v>40</v>
      </c>
      <c r="N100" s="32">
        <v>60</v>
      </c>
      <c r="O100" s="32">
        <v>141</v>
      </c>
      <c r="P100" s="32">
        <v>2</v>
      </c>
      <c r="Q100" s="32">
        <v>3</v>
      </c>
      <c r="R100" s="33"/>
      <c r="S100" s="104">
        <f>SUM($C100:R100)</f>
        <v>1198</v>
      </c>
      <c r="T100" s="166"/>
      <c r="U100" t="str">
        <f>" 正規の従業員・職員（N = "&amp;S101&amp;" : n = "&amp;B100&amp;"）"</f>
        <v xml:space="preserve"> 正規の従業員・職員（N = 1,198 : n = 423）</v>
      </c>
    </row>
    <row r="101" spans="1:21" x14ac:dyDescent="0.2">
      <c r="A101" s="280"/>
      <c r="B101" s="20">
        <f>B100/$B$92*100</f>
        <v>26.175742574257427</v>
      </c>
      <c r="C101" s="20">
        <f>C100/$B100*100</f>
        <v>54.846335697399532</v>
      </c>
      <c r="D101" s="207">
        <f t="shared" ref="D101" si="392">D100/$B100*100</f>
        <v>61.702127659574465</v>
      </c>
      <c r="E101" s="207">
        <f t="shared" ref="E101" si="393">E100/$B100*100</f>
        <v>6.6193853427895979</v>
      </c>
      <c r="F101" s="207">
        <f t="shared" ref="F101" si="394">F100/$B100*100</f>
        <v>0.94562647754137119</v>
      </c>
      <c r="G101" s="207">
        <f t="shared" ref="G101" si="395">G100/$B100*100</f>
        <v>22.695035460992909</v>
      </c>
      <c r="H101" s="207">
        <f t="shared" ref="H101" si="396">H100/$B100*100</f>
        <v>24.113475177304963</v>
      </c>
      <c r="I101" s="207">
        <f t="shared" ref="I101" si="397">I100/$B100*100</f>
        <v>1.1820330969267139</v>
      </c>
      <c r="J101" s="207">
        <f t="shared" ref="J101" si="398">J100/$B100*100</f>
        <v>18.912529550827422</v>
      </c>
      <c r="K101" s="207">
        <f t="shared" ref="K101" si="399">K100/$B100*100</f>
        <v>13.238770685579196</v>
      </c>
      <c r="L101" s="207">
        <f t="shared" ref="L101:M101" si="400">L100/$B100*100</f>
        <v>20.803782505910164</v>
      </c>
      <c r="M101" s="207">
        <f t="shared" si="400"/>
        <v>9.456264775413711</v>
      </c>
      <c r="N101" s="207">
        <f t="shared" ref="N101" si="401">N100/$B100*100</f>
        <v>14.184397163120568</v>
      </c>
      <c r="O101" s="207">
        <f t="shared" ref="O101" si="402">O100/$B100*100</f>
        <v>33.333333333333329</v>
      </c>
      <c r="P101" s="207">
        <f t="shared" ref="P101" si="403">P100/$B100*100</f>
        <v>0.4728132387706856</v>
      </c>
      <c r="Q101" s="207">
        <f t="shared" ref="Q101" si="404">Q100/$B100*100</f>
        <v>0.70921985815602839</v>
      </c>
      <c r="R101" s="208"/>
      <c r="S101" s="204" t="s">
        <v>263</v>
      </c>
    </row>
    <row r="102" spans="1:21" ht="13.5" customHeight="1" x14ac:dyDescent="0.2">
      <c r="A102" s="281" t="str">
        <f>'問3M（表）'!A102:A103</f>
        <v>パートタイム・アルバイト・派遣(n = 346 )　　</v>
      </c>
      <c r="B102" s="34">
        <f>'問3M（表）'!B102</f>
        <v>346</v>
      </c>
      <c r="C102" s="31">
        <v>236</v>
      </c>
      <c r="D102" s="32">
        <v>208</v>
      </c>
      <c r="E102" s="32">
        <v>21</v>
      </c>
      <c r="F102" s="32">
        <v>3</v>
      </c>
      <c r="G102" s="32">
        <v>54</v>
      </c>
      <c r="H102" s="32">
        <v>57</v>
      </c>
      <c r="I102" s="32">
        <v>9</v>
      </c>
      <c r="J102" s="32">
        <v>54</v>
      </c>
      <c r="K102" s="32">
        <v>43</v>
      </c>
      <c r="L102" s="32">
        <v>63</v>
      </c>
      <c r="M102" s="32">
        <v>41</v>
      </c>
      <c r="N102" s="32">
        <v>34</v>
      </c>
      <c r="O102" s="32">
        <v>149</v>
      </c>
      <c r="P102" s="32">
        <v>1</v>
      </c>
      <c r="Q102" s="32">
        <v>4</v>
      </c>
      <c r="R102" s="33"/>
      <c r="S102" s="104">
        <f>SUM($C102:R102)</f>
        <v>977</v>
      </c>
      <c r="T102" s="166"/>
      <c r="U102" t="str">
        <f>" パートタイム・アルバイト・派遣（N = "&amp;S102&amp;" : n = "&amp;B102&amp;"）"</f>
        <v xml:space="preserve"> パートタイム・アルバイト・派遣（N = 977 : n = 346）</v>
      </c>
    </row>
    <row r="103" spans="1:21" x14ac:dyDescent="0.2">
      <c r="A103" s="282"/>
      <c r="B103" s="20">
        <f>B102/$B$92*100</f>
        <v>21.410891089108912</v>
      </c>
      <c r="C103" s="20">
        <f t="shared" ref="C103" si="405">C102/$B102*100</f>
        <v>68.20809248554913</v>
      </c>
      <c r="D103" s="207">
        <f t="shared" ref="D103" si="406">D102/$B102*100</f>
        <v>60.115606936416185</v>
      </c>
      <c r="E103" s="207">
        <f t="shared" ref="E103" si="407">E102/$B102*100</f>
        <v>6.0693641618497107</v>
      </c>
      <c r="F103" s="207">
        <f t="shared" ref="F103" si="408">F102/$B102*100</f>
        <v>0.86705202312138718</v>
      </c>
      <c r="G103" s="207">
        <f t="shared" ref="G103" si="409">G102/$B102*100</f>
        <v>15.606936416184972</v>
      </c>
      <c r="H103" s="207">
        <f t="shared" ref="H103" si="410">H102/$B102*100</f>
        <v>16.473988439306357</v>
      </c>
      <c r="I103" s="207">
        <f t="shared" ref="I103" si="411">I102/$B102*100</f>
        <v>2.601156069364162</v>
      </c>
      <c r="J103" s="207">
        <f t="shared" ref="J103" si="412">J102/$B102*100</f>
        <v>15.606936416184972</v>
      </c>
      <c r="K103" s="207">
        <f t="shared" ref="K103" si="413">K102/$B102*100</f>
        <v>12.427745664739884</v>
      </c>
      <c r="L103" s="207">
        <f t="shared" ref="L103:M103" si="414">L102/$B102*100</f>
        <v>18.20809248554913</v>
      </c>
      <c r="M103" s="207">
        <f t="shared" si="414"/>
        <v>11.849710982658959</v>
      </c>
      <c r="N103" s="207">
        <f t="shared" ref="N103" si="415">N102/$B102*100</f>
        <v>9.8265895953757223</v>
      </c>
      <c r="O103" s="207">
        <f t="shared" ref="O103" si="416">O102/$B102*100</f>
        <v>43.063583815028899</v>
      </c>
      <c r="P103" s="207">
        <f t="shared" ref="P103" si="417">P102/$B102*100</f>
        <v>0.28901734104046239</v>
      </c>
      <c r="Q103" s="207">
        <f t="shared" ref="Q103" si="418">Q102/$B102*100</f>
        <v>1.1560693641618496</v>
      </c>
      <c r="R103" s="208"/>
      <c r="S103" s="195"/>
    </row>
    <row r="104" spans="1:21" ht="13.5" customHeight="1" x14ac:dyDescent="0.2">
      <c r="A104" s="279" t="str">
        <f>'問3M（表）'!A104:A105</f>
        <v>学生(n = 44 )　　</v>
      </c>
      <c r="B104" s="34">
        <f>'問3M（表）'!B104</f>
        <v>44</v>
      </c>
      <c r="C104" s="31">
        <v>14</v>
      </c>
      <c r="D104" s="32">
        <v>20</v>
      </c>
      <c r="E104" s="32">
        <v>16</v>
      </c>
      <c r="F104" s="32">
        <v>6</v>
      </c>
      <c r="G104" s="32">
        <v>23</v>
      </c>
      <c r="H104" s="32">
        <v>20</v>
      </c>
      <c r="I104" s="32">
        <v>1</v>
      </c>
      <c r="J104" s="32">
        <v>7</v>
      </c>
      <c r="K104" s="32">
        <v>2</v>
      </c>
      <c r="L104" s="32">
        <v>0</v>
      </c>
      <c r="M104" s="32">
        <v>8</v>
      </c>
      <c r="N104" s="32">
        <v>2</v>
      </c>
      <c r="O104" s="32">
        <v>2</v>
      </c>
      <c r="P104" s="32">
        <v>0</v>
      </c>
      <c r="Q104" s="32">
        <v>0</v>
      </c>
      <c r="R104" s="33"/>
      <c r="S104" s="104">
        <f>SUM($C104:R104)</f>
        <v>121</v>
      </c>
      <c r="T104" s="166"/>
      <c r="U104" t="str">
        <f>" 学生（N = "&amp;S104&amp;" : n = "&amp;B104&amp;"）"</f>
        <v xml:space="preserve"> 学生（N = 121 : n = 44）</v>
      </c>
    </row>
    <row r="105" spans="1:21" x14ac:dyDescent="0.2">
      <c r="A105" s="280"/>
      <c r="B105" s="20">
        <f>B104/$B$92*100</f>
        <v>2.722772277227723</v>
      </c>
      <c r="C105" s="20">
        <f t="shared" ref="C105" si="419">C104/$B104*100</f>
        <v>31.818181818181817</v>
      </c>
      <c r="D105" s="207">
        <f t="shared" ref="D105" si="420">D104/$B104*100</f>
        <v>45.454545454545453</v>
      </c>
      <c r="E105" s="207">
        <f t="shared" ref="E105" si="421">E104/$B104*100</f>
        <v>36.363636363636367</v>
      </c>
      <c r="F105" s="207">
        <f t="shared" ref="F105" si="422">F104/$B104*100</f>
        <v>13.636363636363635</v>
      </c>
      <c r="G105" s="207">
        <f t="shared" ref="G105" si="423">G104/$B104*100</f>
        <v>52.272727272727273</v>
      </c>
      <c r="H105" s="207">
        <f t="shared" ref="H105" si="424">H104/$B104*100</f>
        <v>45.454545454545453</v>
      </c>
      <c r="I105" s="207">
        <f t="shared" ref="I105" si="425">I104/$B104*100</f>
        <v>2.2727272727272729</v>
      </c>
      <c r="J105" s="207">
        <f t="shared" ref="J105" si="426">J104/$B104*100</f>
        <v>15.909090909090908</v>
      </c>
      <c r="K105" s="207">
        <f t="shared" ref="K105" si="427">K104/$B104*100</f>
        <v>4.5454545454545459</v>
      </c>
      <c r="L105" s="207">
        <f t="shared" ref="L105:M105" si="428">L104/$B104*100</f>
        <v>0</v>
      </c>
      <c r="M105" s="207">
        <f t="shared" si="428"/>
        <v>18.181818181818183</v>
      </c>
      <c r="N105" s="207">
        <f t="shared" ref="N105" si="429">N104/$B104*100</f>
        <v>4.5454545454545459</v>
      </c>
      <c r="O105" s="207">
        <f t="shared" ref="O105" si="430">O104/$B104*100</f>
        <v>4.5454545454545459</v>
      </c>
      <c r="P105" s="207">
        <f t="shared" ref="P105" si="431">P104/$B104*100</f>
        <v>0</v>
      </c>
      <c r="Q105" s="207">
        <f t="shared" ref="Q105" si="432">Q104/$B104*100</f>
        <v>0</v>
      </c>
      <c r="R105" s="208"/>
      <c r="S105" s="195"/>
    </row>
    <row r="106" spans="1:21" ht="13.5" customHeight="1" x14ac:dyDescent="0.2">
      <c r="A106" s="279" t="str">
        <f>'問3M（表）'!A106:A107</f>
        <v>家事従事(n = 150 )　　</v>
      </c>
      <c r="B106" s="34">
        <f>'問3M（表）'!B106</f>
        <v>150</v>
      </c>
      <c r="C106" s="31">
        <v>102</v>
      </c>
      <c r="D106" s="32">
        <v>80</v>
      </c>
      <c r="E106" s="32">
        <v>9</v>
      </c>
      <c r="F106" s="32">
        <v>0</v>
      </c>
      <c r="G106" s="32">
        <v>11</v>
      </c>
      <c r="H106" s="32">
        <v>20</v>
      </c>
      <c r="I106" s="32">
        <v>6</v>
      </c>
      <c r="J106" s="32">
        <v>18</v>
      </c>
      <c r="K106" s="32">
        <v>24</v>
      </c>
      <c r="L106" s="32">
        <v>26</v>
      </c>
      <c r="M106" s="32">
        <v>21</v>
      </c>
      <c r="N106" s="32">
        <v>23</v>
      </c>
      <c r="O106" s="32">
        <v>72</v>
      </c>
      <c r="P106" s="32">
        <v>1</v>
      </c>
      <c r="Q106" s="32">
        <v>1</v>
      </c>
      <c r="R106" s="33"/>
      <c r="S106" s="104">
        <f>SUM($C106:R106)</f>
        <v>414</v>
      </c>
      <c r="T106" s="166"/>
      <c r="U106" t="str">
        <f>" 家事従事（N = "&amp;S106&amp;" : n = "&amp;B106&amp;"）"</f>
        <v xml:space="preserve"> 家事従事（N = 414 : n = 150）</v>
      </c>
    </row>
    <row r="107" spans="1:21" x14ac:dyDescent="0.2">
      <c r="A107" s="280"/>
      <c r="B107" s="20">
        <f>B106/$B$92*100</f>
        <v>9.282178217821782</v>
      </c>
      <c r="C107" s="20">
        <f t="shared" ref="C107" si="433">C106/$B106*100</f>
        <v>68</v>
      </c>
      <c r="D107" s="207">
        <f t="shared" ref="D107" si="434">D106/$B106*100</f>
        <v>53.333333333333336</v>
      </c>
      <c r="E107" s="207">
        <f t="shared" ref="E107" si="435">E106/$B106*100</f>
        <v>6</v>
      </c>
      <c r="F107" s="207">
        <f t="shared" ref="F107" si="436">F106/$B106*100</f>
        <v>0</v>
      </c>
      <c r="G107" s="207">
        <f t="shared" ref="G107" si="437">G106/$B106*100</f>
        <v>7.333333333333333</v>
      </c>
      <c r="H107" s="207">
        <f t="shared" ref="H107" si="438">H106/$B106*100</f>
        <v>13.333333333333334</v>
      </c>
      <c r="I107" s="207">
        <f t="shared" ref="I107" si="439">I106/$B106*100</f>
        <v>4</v>
      </c>
      <c r="J107" s="207">
        <f t="shared" ref="J107" si="440">J106/$B106*100</f>
        <v>12</v>
      </c>
      <c r="K107" s="207">
        <f t="shared" ref="K107" si="441">K106/$B106*100</f>
        <v>16</v>
      </c>
      <c r="L107" s="207">
        <f t="shared" ref="L107:M107" si="442">L106/$B106*100</f>
        <v>17.333333333333336</v>
      </c>
      <c r="M107" s="207">
        <f t="shared" si="442"/>
        <v>14.000000000000002</v>
      </c>
      <c r="N107" s="207">
        <f t="shared" ref="N107" si="443">N106/$B106*100</f>
        <v>15.333333333333332</v>
      </c>
      <c r="O107" s="207">
        <f t="shared" ref="O107" si="444">O106/$B106*100</f>
        <v>48</v>
      </c>
      <c r="P107" s="207">
        <f t="shared" ref="P107" si="445">P106/$B106*100</f>
        <v>0.66666666666666674</v>
      </c>
      <c r="Q107" s="207">
        <f t="shared" ref="Q107" si="446">Q106/$B106*100</f>
        <v>0.66666666666666674</v>
      </c>
      <c r="R107" s="208"/>
      <c r="S107" s="195"/>
    </row>
    <row r="108" spans="1:21" ht="13.5" customHeight="1" x14ac:dyDescent="0.2">
      <c r="A108" s="279" t="str">
        <f>'問3M（表）'!A108:A109</f>
        <v>無職(n = 263 )　　</v>
      </c>
      <c r="B108" s="34">
        <f>'問3M（表）'!B108</f>
        <v>263</v>
      </c>
      <c r="C108" s="31">
        <v>213</v>
      </c>
      <c r="D108" s="32">
        <v>127</v>
      </c>
      <c r="E108" s="32">
        <v>13</v>
      </c>
      <c r="F108" s="32">
        <v>2</v>
      </c>
      <c r="G108" s="32">
        <v>8</v>
      </c>
      <c r="H108" s="32">
        <v>27</v>
      </c>
      <c r="I108" s="32">
        <v>15</v>
      </c>
      <c r="J108" s="32">
        <v>27</v>
      </c>
      <c r="K108" s="32">
        <v>48</v>
      </c>
      <c r="L108" s="32">
        <v>2</v>
      </c>
      <c r="M108" s="32">
        <v>33</v>
      </c>
      <c r="N108" s="32">
        <v>37</v>
      </c>
      <c r="O108" s="32">
        <v>131</v>
      </c>
      <c r="P108" s="32">
        <v>2</v>
      </c>
      <c r="Q108" s="32">
        <v>6</v>
      </c>
      <c r="R108" s="33"/>
      <c r="S108" s="104">
        <f>SUM($C108:R108)</f>
        <v>691</v>
      </c>
      <c r="T108" s="166"/>
      <c r="U108" t="str">
        <f>" 無職（N = "&amp;$S$108&amp;" : n = "&amp;$B$108&amp;"）"</f>
        <v xml:space="preserve"> 無職（N = 691 : n = 263）</v>
      </c>
    </row>
    <row r="109" spans="1:21" x14ac:dyDescent="0.2">
      <c r="A109" s="280"/>
      <c r="B109" s="20">
        <f>B108/$B$92*100</f>
        <v>16.274752475247524</v>
      </c>
      <c r="C109" s="20">
        <f t="shared" ref="C109" si="447">C108/$B108*100</f>
        <v>80.98859315589354</v>
      </c>
      <c r="D109" s="207">
        <f t="shared" ref="D109" si="448">D108/$B108*100</f>
        <v>48.28897338403042</v>
      </c>
      <c r="E109" s="207">
        <f t="shared" ref="E109" si="449">E108/$B108*100</f>
        <v>4.9429657794676807</v>
      </c>
      <c r="F109" s="207">
        <f t="shared" ref="F109" si="450">F108/$B108*100</f>
        <v>0.76045627376425851</v>
      </c>
      <c r="G109" s="207">
        <f t="shared" ref="G109" si="451">G108/$B108*100</f>
        <v>3.041825095057034</v>
      </c>
      <c r="H109" s="207">
        <f t="shared" ref="H109" si="452">H108/$B108*100</f>
        <v>10.266159695817491</v>
      </c>
      <c r="I109" s="207">
        <f t="shared" ref="I109" si="453">I108/$B108*100</f>
        <v>5.7034220532319395</v>
      </c>
      <c r="J109" s="207">
        <f t="shared" ref="J109" si="454">J108/$B108*100</f>
        <v>10.266159695817491</v>
      </c>
      <c r="K109" s="207">
        <f t="shared" ref="K109" si="455">K108/$B108*100</f>
        <v>18.250950570342205</v>
      </c>
      <c r="L109" s="207">
        <f t="shared" ref="L109:M109" si="456">L108/$B108*100</f>
        <v>0.76045627376425851</v>
      </c>
      <c r="M109" s="207">
        <f t="shared" si="456"/>
        <v>12.547528517110266</v>
      </c>
      <c r="N109" s="207">
        <f t="shared" ref="N109" si="457">N108/$B108*100</f>
        <v>14.068441064638785</v>
      </c>
      <c r="O109" s="207">
        <f t="shared" ref="O109" si="458">O108/$B108*100</f>
        <v>49.809885931558931</v>
      </c>
      <c r="P109" s="207">
        <f t="shared" ref="P109" si="459">P108/$B108*100</f>
        <v>0.76045627376425851</v>
      </c>
      <c r="Q109" s="207">
        <f t="shared" ref="Q109" si="460">Q108/$B108*100</f>
        <v>2.2813688212927756</v>
      </c>
      <c r="R109" s="208"/>
      <c r="S109" s="195"/>
    </row>
    <row r="110" spans="1:21" ht="13.5" customHeight="1" x14ac:dyDescent="0.2">
      <c r="A110" s="279" t="str">
        <f>'問3M（表）'!A110:A111</f>
        <v>その他(n = 18 )　　</v>
      </c>
      <c r="B110" s="34">
        <f>'問3M（表）'!B110</f>
        <v>18</v>
      </c>
      <c r="C110" s="31">
        <v>9</v>
      </c>
      <c r="D110" s="32">
        <v>12</v>
      </c>
      <c r="E110" s="32">
        <v>1</v>
      </c>
      <c r="F110" s="32">
        <v>0</v>
      </c>
      <c r="G110" s="32">
        <v>1</v>
      </c>
      <c r="H110" s="32">
        <v>1</v>
      </c>
      <c r="I110" s="32">
        <v>2</v>
      </c>
      <c r="J110" s="32">
        <v>1</v>
      </c>
      <c r="K110" s="32">
        <v>1</v>
      </c>
      <c r="L110" s="32">
        <v>1</v>
      </c>
      <c r="M110" s="32">
        <v>4</v>
      </c>
      <c r="N110" s="32">
        <v>5</v>
      </c>
      <c r="O110" s="32">
        <v>10</v>
      </c>
      <c r="P110" s="32">
        <v>0</v>
      </c>
      <c r="Q110" s="32">
        <v>0</v>
      </c>
      <c r="R110" s="33"/>
      <c r="S110" s="104">
        <f>SUM($C110:R110)</f>
        <v>48</v>
      </c>
      <c r="T110" s="166"/>
      <c r="U110" t="str">
        <f>" その他（N = "&amp;$S$110&amp;" : n = "&amp;$B$110&amp;"）"</f>
        <v xml:space="preserve"> その他（N = 48 : n = 18）</v>
      </c>
    </row>
    <row r="111" spans="1:21" x14ac:dyDescent="0.2">
      <c r="A111" s="280"/>
      <c r="B111" s="20">
        <f>B110/$B$92*100</f>
        <v>1.1138613861386137</v>
      </c>
      <c r="C111" s="20">
        <f t="shared" ref="C111" si="461">C110/$B110*100</f>
        <v>50</v>
      </c>
      <c r="D111" s="207">
        <f t="shared" ref="D111" si="462">D110/$B110*100</f>
        <v>66.666666666666657</v>
      </c>
      <c r="E111" s="207">
        <f t="shared" ref="E111" si="463">E110/$B110*100</f>
        <v>5.5555555555555554</v>
      </c>
      <c r="F111" s="207">
        <f t="shared" ref="F111" si="464">F110/$B110*100</f>
        <v>0</v>
      </c>
      <c r="G111" s="207">
        <f t="shared" ref="G111" si="465">G110/$B110*100</f>
        <v>5.5555555555555554</v>
      </c>
      <c r="H111" s="207">
        <f t="shared" ref="H111" si="466">H110/$B110*100</f>
        <v>5.5555555555555554</v>
      </c>
      <c r="I111" s="207">
        <f t="shared" ref="I111" si="467">I110/$B110*100</f>
        <v>11.111111111111111</v>
      </c>
      <c r="J111" s="207">
        <f t="shared" ref="J111" si="468">J110/$B110*100</f>
        <v>5.5555555555555554</v>
      </c>
      <c r="K111" s="207">
        <f t="shared" ref="K111" si="469">K110/$B110*100</f>
        <v>5.5555555555555554</v>
      </c>
      <c r="L111" s="207">
        <f t="shared" ref="L111:M111" si="470">L110/$B110*100</f>
        <v>5.5555555555555554</v>
      </c>
      <c r="M111" s="207">
        <f t="shared" si="470"/>
        <v>22.222222222222221</v>
      </c>
      <c r="N111" s="207">
        <f t="shared" ref="N111" si="471">N110/$B110*100</f>
        <v>27.777777777777779</v>
      </c>
      <c r="O111" s="207">
        <f t="shared" ref="O111" si="472">O110/$B110*100</f>
        <v>55.555555555555557</v>
      </c>
      <c r="P111" s="207">
        <f t="shared" ref="P111" si="473">P110/$B110*100</f>
        <v>0</v>
      </c>
      <c r="Q111" s="207">
        <f t="shared" ref="Q111" si="474">Q110/$B110*100</f>
        <v>0</v>
      </c>
      <c r="R111" s="208"/>
      <c r="S111" s="166">
        <f>SUM($S$96,$S$104,$S$110)</f>
        <v>201</v>
      </c>
      <c r="T111" s="166">
        <f>SUM($B$96,$B$104,$B$110)</f>
        <v>74</v>
      </c>
      <c r="U111" t="str">
        <f>" その他（N = "&amp;$S$111&amp;" : n = "&amp;$T$111&amp;"）"</f>
        <v xml:space="preserve"> その他（N = 201 : n = 74）</v>
      </c>
    </row>
    <row r="112" spans="1:21" s="186" customFormat="1" x14ac:dyDescent="0.2">
      <c r="A112" s="184"/>
      <c r="B112" s="182"/>
      <c r="C112" s="172">
        <f>_xlfn.RANK.EQ(C93,$C$93:$R$93,0)</f>
        <v>1</v>
      </c>
      <c r="D112" s="172">
        <f t="shared" ref="D112:R112" si="475">_xlfn.RANK.EQ(D93,$C$93:$R$93,0)</f>
        <v>2</v>
      </c>
      <c r="E112" s="172">
        <f t="shared" si="475"/>
        <v>11</v>
      </c>
      <c r="F112" s="172">
        <f t="shared" si="475"/>
        <v>14</v>
      </c>
      <c r="G112" s="172">
        <f t="shared" si="475"/>
        <v>4</v>
      </c>
      <c r="H112" s="172">
        <f t="shared" si="475"/>
        <v>5</v>
      </c>
      <c r="I112" s="172">
        <f t="shared" si="475"/>
        <v>12</v>
      </c>
      <c r="J112" s="172">
        <f t="shared" si="475"/>
        <v>6</v>
      </c>
      <c r="K112" s="172">
        <f t="shared" si="475"/>
        <v>8</v>
      </c>
      <c r="L112" s="172">
        <f t="shared" si="475"/>
        <v>7</v>
      </c>
      <c r="M112" s="172">
        <f t="shared" si="475"/>
        <v>10</v>
      </c>
      <c r="N112" s="172">
        <f t="shared" si="475"/>
        <v>9</v>
      </c>
      <c r="O112" s="172">
        <f t="shared" si="475"/>
        <v>3</v>
      </c>
      <c r="P112" s="172">
        <f t="shared" si="475"/>
        <v>15</v>
      </c>
      <c r="Q112" s="172">
        <f t="shared" si="475"/>
        <v>13</v>
      </c>
      <c r="R112" s="172" t="e">
        <f t="shared" si="475"/>
        <v>#N/A</v>
      </c>
      <c r="S112" s="185"/>
      <c r="T112" s="183"/>
      <c r="U112" s="183"/>
    </row>
    <row r="113" spans="1:18" x14ac:dyDescent="0.2">
      <c r="A113" s="26" t="s">
        <v>2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8" x14ac:dyDescent="0.2">
      <c r="A114" s="6" t="s">
        <v>4</v>
      </c>
      <c r="B114" s="4"/>
      <c r="C114" s="27">
        <v>1</v>
      </c>
      <c r="D114" s="27">
        <v>2</v>
      </c>
      <c r="E114" s="27">
        <v>3</v>
      </c>
      <c r="F114" s="27">
        <v>4</v>
      </c>
      <c r="G114" s="27">
        <v>5</v>
      </c>
      <c r="H114" s="27">
        <v>6</v>
      </c>
      <c r="I114" s="27">
        <v>7</v>
      </c>
      <c r="J114" s="27">
        <v>8</v>
      </c>
      <c r="K114" s="27">
        <v>9</v>
      </c>
      <c r="L114" s="27">
        <v>10</v>
      </c>
      <c r="M114" s="27">
        <v>11</v>
      </c>
      <c r="N114" s="27">
        <v>12</v>
      </c>
      <c r="O114" s="27">
        <v>13</v>
      </c>
      <c r="P114" s="27">
        <v>14</v>
      </c>
      <c r="Q114" s="27">
        <v>15</v>
      </c>
      <c r="R114" s="27">
        <v>16</v>
      </c>
    </row>
    <row r="115" spans="1:18" ht="32.4" x14ac:dyDescent="0.2">
      <c r="A115" s="12" t="str">
        <f>A91</f>
        <v>【職業別】</v>
      </c>
      <c r="B115" s="14" t="s">
        <v>157</v>
      </c>
      <c r="C115" s="15" t="s">
        <v>208</v>
      </c>
      <c r="D115" s="16" t="s">
        <v>209</v>
      </c>
      <c r="E115" s="16" t="s">
        <v>74</v>
      </c>
      <c r="F115" s="16" t="s">
        <v>210</v>
      </c>
      <c r="G115" s="16" t="s">
        <v>176</v>
      </c>
      <c r="H115" s="16" t="s">
        <v>70</v>
      </c>
      <c r="I115" s="17" t="s">
        <v>52</v>
      </c>
      <c r="J115" s="16" t="s">
        <v>71</v>
      </c>
      <c r="K115" s="16" t="s">
        <v>211</v>
      </c>
      <c r="L115" s="16" t="s">
        <v>73</v>
      </c>
      <c r="M115" s="16" t="s">
        <v>212</v>
      </c>
      <c r="N115" s="17" t="s">
        <v>213</v>
      </c>
      <c r="O115" s="17" t="s">
        <v>214</v>
      </c>
      <c r="P115" s="16" t="s">
        <v>57</v>
      </c>
      <c r="Q115" s="17" t="s">
        <v>75</v>
      </c>
      <c r="R115" s="18"/>
    </row>
    <row r="116" spans="1:18" x14ac:dyDescent="0.2">
      <c r="A116" s="279" t="str">
        <f>A92</f>
        <v>全体(n = 1,616 )　　</v>
      </c>
      <c r="B116" s="113">
        <f t="shared" ref="B116:B134" si="476">B92</f>
        <v>1616</v>
      </c>
      <c r="C116" s="121">
        <v>1031</v>
      </c>
      <c r="D116" s="122">
        <v>900</v>
      </c>
      <c r="E116" s="122">
        <v>641</v>
      </c>
      <c r="F116" s="122">
        <v>307</v>
      </c>
      <c r="G116" s="122">
        <v>285</v>
      </c>
      <c r="H116" s="122">
        <v>233</v>
      </c>
      <c r="I116" s="123">
        <v>225</v>
      </c>
      <c r="J116" s="122">
        <v>216</v>
      </c>
      <c r="K116" s="122">
        <v>206</v>
      </c>
      <c r="L116" s="122">
        <v>186</v>
      </c>
      <c r="M116" s="122">
        <v>120</v>
      </c>
      <c r="N116" s="123">
        <v>45</v>
      </c>
      <c r="O116" s="123">
        <v>19</v>
      </c>
      <c r="P116" s="122">
        <v>11</v>
      </c>
      <c r="Q116" s="123">
        <v>20</v>
      </c>
      <c r="R116" s="124"/>
    </row>
    <row r="117" spans="1:18" x14ac:dyDescent="0.2">
      <c r="A117" s="280"/>
      <c r="B117" s="114">
        <f t="shared" si="476"/>
        <v>100</v>
      </c>
      <c r="C117" s="125">
        <v>63.799504950495049</v>
      </c>
      <c r="D117" s="126">
        <v>55.693069306930695</v>
      </c>
      <c r="E117" s="126">
        <v>39.665841584158414</v>
      </c>
      <c r="F117" s="126">
        <v>18.997524752475247</v>
      </c>
      <c r="G117" s="126">
        <v>17.636138613861384</v>
      </c>
      <c r="H117" s="126">
        <v>14.418316831683168</v>
      </c>
      <c r="I117" s="127">
        <v>13.923267326732674</v>
      </c>
      <c r="J117" s="126">
        <v>13.366336633663368</v>
      </c>
      <c r="K117" s="126">
        <v>12.747524752475247</v>
      </c>
      <c r="L117" s="126">
        <v>11.509900990099011</v>
      </c>
      <c r="M117" s="126">
        <v>7.4257425742574252</v>
      </c>
      <c r="N117" s="127">
        <v>2.7846534653465347</v>
      </c>
      <c r="O117" s="127">
        <v>1.1757425742574257</v>
      </c>
      <c r="P117" s="126">
        <v>0.68069306930693074</v>
      </c>
      <c r="Q117" s="127">
        <v>1.2376237623762376</v>
      </c>
      <c r="R117" s="128"/>
    </row>
    <row r="118" spans="1:18" x14ac:dyDescent="0.2">
      <c r="A118" s="279" t="str">
        <f>A94</f>
        <v>自営業(n = 175 )　　</v>
      </c>
      <c r="B118" s="113">
        <f t="shared" si="476"/>
        <v>175</v>
      </c>
      <c r="C118" s="129">
        <v>115</v>
      </c>
      <c r="D118" s="130">
        <v>91</v>
      </c>
      <c r="E118" s="130">
        <v>78</v>
      </c>
      <c r="F118" s="130">
        <v>66</v>
      </c>
      <c r="G118" s="130">
        <v>16</v>
      </c>
      <c r="H118" s="130">
        <v>15</v>
      </c>
      <c r="I118" s="140">
        <v>12</v>
      </c>
      <c r="J118" s="130">
        <v>19</v>
      </c>
      <c r="K118" s="130">
        <v>26</v>
      </c>
      <c r="L118" s="130">
        <v>16</v>
      </c>
      <c r="M118" s="130">
        <v>15</v>
      </c>
      <c r="N118" s="130">
        <v>4</v>
      </c>
      <c r="O118" s="140">
        <v>3</v>
      </c>
      <c r="P118" s="130">
        <v>2</v>
      </c>
      <c r="Q118" s="140">
        <v>5</v>
      </c>
      <c r="R118" s="131"/>
    </row>
    <row r="119" spans="1:18" x14ac:dyDescent="0.2">
      <c r="A119" s="280"/>
      <c r="B119" s="114">
        <f t="shared" si="476"/>
        <v>10.829207920792079</v>
      </c>
      <c r="C119" s="125">
        <v>65.714285714285708</v>
      </c>
      <c r="D119" s="126">
        <v>52</v>
      </c>
      <c r="E119" s="126">
        <v>44.571428571428569</v>
      </c>
      <c r="F119" s="126">
        <v>37.714285714285715</v>
      </c>
      <c r="G119" s="126">
        <v>9.1428571428571423</v>
      </c>
      <c r="H119" s="126">
        <v>8.5714285714285712</v>
      </c>
      <c r="I119" s="127">
        <v>6.8571428571428577</v>
      </c>
      <c r="J119" s="126">
        <v>10.857142857142858</v>
      </c>
      <c r="K119" s="126">
        <v>14.857142857142858</v>
      </c>
      <c r="L119" s="126">
        <v>9.1428571428571423</v>
      </c>
      <c r="M119" s="126">
        <v>8.5714285714285712</v>
      </c>
      <c r="N119" s="126">
        <v>2.2857142857142856</v>
      </c>
      <c r="O119" s="127">
        <v>1.7142857142857144</v>
      </c>
      <c r="P119" s="126">
        <v>1.1428571428571428</v>
      </c>
      <c r="Q119" s="127">
        <v>2.8571428571428572</v>
      </c>
      <c r="R119" s="128"/>
    </row>
    <row r="120" spans="1:18" x14ac:dyDescent="0.2">
      <c r="A120" s="279" t="str">
        <f>A96</f>
        <v>自由業(※1)(n = 12 )　　</v>
      </c>
      <c r="B120" s="113">
        <f t="shared" si="476"/>
        <v>12</v>
      </c>
      <c r="C120" s="129">
        <v>10</v>
      </c>
      <c r="D120" s="130">
        <v>6</v>
      </c>
      <c r="E120" s="130">
        <v>3</v>
      </c>
      <c r="F120" s="130">
        <v>2</v>
      </c>
      <c r="G120" s="130">
        <v>3</v>
      </c>
      <c r="H120" s="130">
        <v>2</v>
      </c>
      <c r="I120" s="140">
        <v>1</v>
      </c>
      <c r="J120" s="130">
        <v>2</v>
      </c>
      <c r="K120" s="130">
        <v>2</v>
      </c>
      <c r="L120" s="130">
        <v>1</v>
      </c>
      <c r="M120" s="130">
        <v>0</v>
      </c>
      <c r="N120" s="130">
        <v>0</v>
      </c>
      <c r="O120" s="140">
        <v>0</v>
      </c>
      <c r="P120" s="130">
        <v>0</v>
      </c>
      <c r="Q120" s="140">
        <v>0</v>
      </c>
      <c r="R120" s="131"/>
    </row>
    <row r="121" spans="1:18" x14ac:dyDescent="0.2">
      <c r="A121" s="280"/>
      <c r="B121" s="114">
        <f t="shared" si="476"/>
        <v>0.74257425742574257</v>
      </c>
      <c r="C121" s="125">
        <v>83.333333333333343</v>
      </c>
      <c r="D121" s="126">
        <v>50</v>
      </c>
      <c r="E121" s="126">
        <v>25</v>
      </c>
      <c r="F121" s="126">
        <v>16.666666666666664</v>
      </c>
      <c r="G121" s="126">
        <v>25</v>
      </c>
      <c r="H121" s="126">
        <v>16.666666666666664</v>
      </c>
      <c r="I121" s="127">
        <v>8.3333333333333321</v>
      </c>
      <c r="J121" s="126">
        <v>16.666666666666664</v>
      </c>
      <c r="K121" s="126">
        <v>16.666666666666664</v>
      </c>
      <c r="L121" s="126">
        <v>8.3333333333333321</v>
      </c>
      <c r="M121" s="126">
        <v>0</v>
      </c>
      <c r="N121" s="126">
        <v>0</v>
      </c>
      <c r="O121" s="127">
        <v>0</v>
      </c>
      <c r="P121" s="126">
        <v>0</v>
      </c>
      <c r="Q121" s="127">
        <v>0</v>
      </c>
      <c r="R121" s="128"/>
    </row>
    <row r="122" spans="1:18" x14ac:dyDescent="0.2">
      <c r="A122" s="279" t="str">
        <f>A98</f>
        <v>会社・団体役員(n = 171 )　　</v>
      </c>
      <c r="B122" s="113">
        <f t="shared" si="476"/>
        <v>171</v>
      </c>
      <c r="C122" s="129">
        <v>100</v>
      </c>
      <c r="D122" s="130">
        <v>95</v>
      </c>
      <c r="E122" s="130">
        <v>55</v>
      </c>
      <c r="F122" s="130">
        <v>46</v>
      </c>
      <c r="G122" s="130">
        <v>39</v>
      </c>
      <c r="H122" s="130">
        <v>29</v>
      </c>
      <c r="I122" s="140">
        <v>32</v>
      </c>
      <c r="J122" s="130">
        <v>21</v>
      </c>
      <c r="K122" s="130">
        <v>17</v>
      </c>
      <c r="L122" s="130">
        <v>22</v>
      </c>
      <c r="M122" s="130">
        <v>17</v>
      </c>
      <c r="N122" s="130">
        <v>3</v>
      </c>
      <c r="O122" s="140">
        <v>1</v>
      </c>
      <c r="P122" s="130">
        <v>3</v>
      </c>
      <c r="Q122" s="140">
        <v>1</v>
      </c>
      <c r="R122" s="131"/>
    </row>
    <row r="123" spans="1:18" x14ac:dyDescent="0.2">
      <c r="A123" s="280"/>
      <c r="B123" s="114">
        <f t="shared" si="476"/>
        <v>10.581683168316831</v>
      </c>
      <c r="C123" s="125">
        <v>58.479532163742689</v>
      </c>
      <c r="D123" s="126">
        <v>55.555555555555557</v>
      </c>
      <c r="E123" s="126">
        <v>32.163742690058477</v>
      </c>
      <c r="F123" s="126">
        <v>26.900584795321635</v>
      </c>
      <c r="G123" s="126">
        <v>22.807017543859647</v>
      </c>
      <c r="H123" s="126">
        <v>16.959064327485379</v>
      </c>
      <c r="I123" s="127">
        <v>18.71345029239766</v>
      </c>
      <c r="J123" s="126">
        <v>12.280701754385964</v>
      </c>
      <c r="K123" s="126">
        <v>9.9415204678362574</v>
      </c>
      <c r="L123" s="126">
        <v>12.865497076023392</v>
      </c>
      <c r="M123" s="126">
        <v>9.9415204678362574</v>
      </c>
      <c r="N123" s="126">
        <v>1.7543859649122806</v>
      </c>
      <c r="O123" s="127">
        <v>0.58479532163742687</v>
      </c>
      <c r="P123" s="126">
        <v>1.7543859649122806</v>
      </c>
      <c r="Q123" s="127">
        <v>0.58479532163742687</v>
      </c>
      <c r="R123" s="128"/>
    </row>
    <row r="124" spans="1:18" x14ac:dyDescent="0.2">
      <c r="A124" s="283" t="str">
        <f>A100</f>
        <v>正規の従業員・職員(n = 423 )　　</v>
      </c>
      <c r="B124" s="113">
        <f t="shared" si="476"/>
        <v>423</v>
      </c>
      <c r="C124" s="129">
        <v>232</v>
      </c>
      <c r="D124" s="130">
        <v>261</v>
      </c>
      <c r="E124" s="130">
        <v>141</v>
      </c>
      <c r="F124" s="130">
        <v>96</v>
      </c>
      <c r="G124" s="130">
        <v>102</v>
      </c>
      <c r="H124" s="130">
        <v>80</v>
      </c>
      <c r="I124" s="140">
        <v>88</v>
      </c>
      <c r="J124" s="130">
        <v>56</v>
      </c>
      <c r="K124" s="130">
        <v>60</v>
      </c>
      <c r="L124" s="130">
        <v>40</v>
      </c>
      <c r="M124" s="130">
        <v>28</v>
      </c>
      <c r="N124" s="130">
        <v>5</v>
      </c>
      <c r="O124" s="140">
        <v>4</v>
      </c>
      <c r="P124" s="130">
        <v>2</v>
      </c>
      <c r="Q124" s="140">
        <v>3</v>
      </c>
      <c r="R124" s="131"/>
    </row>
    <row r="125" spans="1:18" x14ac:dyDescent="0.2">
      <c r="A125" s="284"/>
      <c r="B125" s="114">
        <f t="shared" si="476"/>
        <v>26.175742574257427</v>
      </c>
      <c r="C125" s="125">
        <v>54.846335697399532</v>
      </c>
      <c r="D125" s="126">
        <v>61.702127659574465</v>
      </c>
      <c r="E125" s="126">
        <v>33.333333333333329</v>
      </c>
      <c r="F125" s="126">
        <v>22.695035460992909</v>
      </c>
      <c r="G125" s="126">
        <v>24.113475177304963</v>
      </c>
      <c r="H125" s="126">
        <v>18.912529550827422</v>
      </c>
      <c r="I125" s="127">
        <v>20.803782505910164</v>
      </c>
      <c r="J125" s="126">
        <v>13.238770685579196</v>
      </c>
      <c r="K125" s="126">
        <v>14.184397163120568</v>
      </c>
      <c r="L125" s="126">
        <v>9.456264775413711</v>
      </c>
      <c r="M125" s="126">
        <v>6.6193853427895979</v>
      </c>
      <c r="N125" s="126">
        <v>1.1820330969267139</v>
      </c>
      <c r="O125" s="127">
        <v>0.94562647754137119</v>
      </c>
      <c r="P125" s="126">
        <v>0.4728132387706856</v>
      </c>
      <c r="Q125" s="127">
        <v>0.70921985815602839</v>
      </c>
      <c r="R125" s="128"/>
    </row>
    <row r="126" spans="1:18" x14ac:dyDescent="0.2">
      <c r="A126" s="281" t="str">
        <f>A102</f>
        <v>パートタイム・アルバイト・派遣(n = 346 )　　</v>
      </c>
      <c r="B126" s="113">
        <f t="shared" si="476"/>
        <v>346</v>
      </c>
      <c r="C126" s="129">
        <v>236</v>
      </c>
      <c r="D126" s="130">
        <v>208</v>
      </c>
      <c r="E126" s="130">
        <v>149</v>
      </c>
      <c r="F126" s="130">
        <v>54</v>
      </c>
      <c r="G126" s="130">
        <v>57</v>
      </c>
      <c r="H126" s="130">
        <v>54</v>
      </c>
      <c r="I126" s="140">
        <v>63</v>
      </c>
      <c r="J126" s="130">
        <v>43</v>
      </c>
      <c r="K126" s="130">
        <v>34</v>
      </c>
      <c r="L126" s="130">
        <v>41</v>
      </c>
      <c r="M126" s="130">
        <v>21</v>
      </c>
      <c r="N126" s="130">
        <v>9</v>
      </c>
      <c r="O126" s="140">
        <v>3</v>
      </c>
      <c r="P126" s="130">
        <v>1</v>
      </c>
      <c r="Q126" s="140">
        <v>4</v>
      </c>
      <c r="R126" s="131"/>
    </row>
    <row r="127" spans="1:18" x14ac:dyDescent="0.2">
      <c r="A127" s="282"/>
      <c r="B127" s="114">
        <f t="shared" si="476"/>
        <v>21.410891089108912</v>
      </c>
      <c r="C127" s="125">
        <v>68.20809248554913</v>
      </c>
      <c r="D127" s="126">
        <v>60.115606936416185</v>
      </c>
      <c r="E127" s="126">
        <v>43.063583815028899</v>
      </c>
      <c r="F127" s="126">
        <v>15.606936416184972</v>
      </c>
      <c r="G127" s="126">
        <v>16.473988439306357</v>
      </c>
      <c r="H127" s="126">
        <v>15.606936416184972</v>
      </c>
      <c r="I127" s="127">
        <v>18.20809248554913</v>
      </c>
      <c r="J127" s="126">
        <v>12.427745664739884</v>
      </c>
      <c r="K127" s="126">
        <v>9.8265895953757223</v>
      </c>
      <c r="L127" s="126">
        <v>11.849710982658959</v>
      </c>
      <c r="M127" s="126">
        <v>6.0693641618497107</v>
      </c>
      <c r="N127" s="126">
        <v>2.601156069364162</v>
      </c>
      <c r="O127" s="127">
        <v>0.86705202312138718</v>
      </c>
      <c r="P127" s="126">
        <v>0.28901734104046239</v>
      </c>
      <c r="Q127" s="127">
        <v>1.1560693641618496</v>
      </c>
      <c r="R127" s="128"/>
    </row>
    <row r="128" spans="1:18" x14ac:dyDescent="0.2">
      <c r="A128" s="279" t="str">
        <f>A104</f>
        <v>学生(n = 44 )　　</v>
      </c>
      <c r="B128" s="113">
        <f t="shared" si="476"/>
        <v>44</v>
      </c>
      <c r="C128" s="129">
        <v>14</v>
      </c>
      <c r="D128" s="130">
        <v>20</v>
      </c>
      <c r="E128" s="130">
        <v>2</v>
      </c>
      <c r="F128" s="130">
        <v>23</v>
      </c>
      <c r="G128" s="130">
        <v>20</v>
      </c>
      <c r="H128" s="130">
        <v>7</v>
      </c>
      <c r="I128" s="140">
        <v>0</v>
      </c>
      <c r="J128" s="130">
        <v>2</v>
      </c>
      <c r="K128" s="130">
        <v>2</v>
      </c>
      <c r="L128" s="130">
        <v>8</v>
      </c>
      <c r="M128" s="130">
        <v>16</v>
      </c>
      <c r="N128" s="130">
        <v>1</v>
      </c>
      <c r="O128" s="140">
        <v>6</v>
      </c>
      <c r="P128" s="130">
        <v>0</v>
      </c>
      <c r="Q128" s="140">
        <v>0</v>
      </c>
      <c r="R128" s="131"/>
    </row>
    <row r="129" spans="1:35" x14ac:dyDescent="0.2">
      <c r="A129" s="280"/>
      <c r="B129" s="114">
        <f t="shared" si="476"/>
        <v>2.722772277227723</v>
      </c>
      <c r="C129" s="125">
        <v>31.818181818181817</v>
      </c>
      <c r="D129" s="126">
        <v>45.454545454545453</v>
      </c>
      <c r="E129" s="126">
        <v>4.5454545454545459</v>
      </c>
      <c r="F129" s="126">
        <v>52.272727272727273</v>
      </c>
      <c r="G129" s="126">
        <v>45.454545454545453</v>
      </c>
      <c r="H129" s="126">
        <v>15.909090909090908</v>
      </c>
      <c r="I129" s="127">
        <v>0</v>
      </c>
      <c r="J129" s="126">
        <v>4.5454545454545459</v>
      </c>
      <c r="K129" s="126">
        <v>4.5454545454545459</v>
      </c>
      <c r="L129" s="126">
        <v>18.181818181818183</v>
      </c>
      <c r="M129" s="126">
        <v>36.363636363636367</v>
      </c>
      <c r="N129" s="126">
        <v>2.2727272727272729</v>
      </c>
      <c r="O129" s="127">
        <v>13.636363636363635</v>
      </c>
      <c r="P129" s="126">
        <v>0</v>
      </c>
      <c r="Q129" s="127">
        <v>0</v>
      </c>
      <c r="R129" s="128"/>
    </row>
    <row r="130" spans="1:35" x14ac:dyDescent="0.2">
      <c r="A130" s="279" t="str">
        <f>A106</f>
        <v>家事従事(n = 150 )　　</v>
      </c>
      <c r="B130" s="113">
        <f t="shared" si="476"/>
        <v>150</v>
      </c>
      <c r="C130" s="129">
        <v>102</v>
      </c>
      <c r="D130" s="130">
        <v>80</v>
      </c>
      <c r="E130" s="130">
        <v>72</v>
      </c>
      <c r="F130" s="130">
        <v>11</v>
      </c>
      <c r="G130" s="130">
        <v>20</v>
      </c>
      <c r="H130" s="130">
        <v>18</v>
      </c>
      <c r="I130" s="140">
        <v>26</v>
      </c>
      <c r="J130" s="130">
        <v>24</v>
      </c>
      <c r="K130" s="130">
        <v>23</v>
      </c>
      <c r="L130" s="130">
        <v>21</v>
      </c>
      <c r="M130" s="130">
        <v>9</v>
      </c>
      <c r="N130" s="130">
        <v>6</v>
      </c>
      <c r="O130" s="140">
        <v>0</v>
      </c>
      <c r="P130" s="130">
        <v>1</v>
      </c>
      <c r="Q130" s="140">
        <v>1</v>
      </c>
      <c r="R130" s="131"/>
    </row>
    <row r="131" spans="1:35" x14ac:dyDescent="0.2">
      <c r="A131" s="280"/>
      <c r="B131" s="114">
        <f t="shared" si="476"/>
        <v>9.282178217821782</v>
      </c>
      <c r="C131" s="125">
        <v>68</v>
      </c>
      <c r="D131" s="126">
        <v>53.333333333333336</v>
      </c>
      <c r="E131" s="126">
        <v>48</v>
      </c>
      <c r="F131" s="126">
        <v>7.333333333333333</v>
      </c>
      <c r="G131" s="126">
        <v>13.333333333333334</v>
      </c>
      <c r="H131" s="126">
        <v>12</v>
      </c>
      <c r="I131" s="127">
        <v>17.333333333333336</v>
      </c>
      <c r="J131" s="126">
        <v>16</v>
      </c>
      <c r="K131" s="126">
        <v>15.333333333333332</v>
      </c>
      <c r="L131" s="126">
        <v>14.000000000000002</v>
      </c>
      <c r="M131" s="126">
        <v>6</v>
      </c>
      <c r="N131" s="126">
        <v>4</v>
      </c>
      <c r="O131" s="127">
        <v>0</v>
      </c>
      <c r="P131" s="126">
        <v>0.66666666666666674</v>
      </c>
      <c r="Q131" s="127">
        <v>0.66666666666666674</v>
      </c>
      <c r="R131" s="128"/>
    </row>
    <row r="132" spans="1:35" x14ac:dyDescent="0.2">
      <c r="A132" s="279" t="str">
        <f>A108</f>
        <v>無職(n = 263 )　　</v>
      </c>
      <c r="B132" s="113">
        <f t="shared" si="476"/>
        <v>263</v>
      </c>
      <c r="C132" s="129">
        <v>213</v>
      </c>
      <c r="D132" s="130">
        <v>127</v>
      </c>
      <c r="E132" s="130">
        <v>131</v>
      </c>
      <c r="F132" s="130">
        <v>8</v>
      </c>
      <c r="G132" s="130">
        <v>27</v>
      </c>
      <c r="H132" s="130">
        <v>27</v>
      </c>
      <c r="I132" s="140">
        <v>2</v>
      </c>
      <c r="J132" s="130">
        <v>48</v>
      </c>
      <c r="K132" s="130">
        <v>37</v>
      </c>
      <c r="L132" s="130">
        <v>33</v>
      </c>
      <c r="M132" s="130">
        <v>13</v>
      </c>
      <c r="N132" s="130">
        <v>15</v>
      </c>
      <c r="O132" s="140">
        <v>2</v>
      </c>
      <c r="P132" s="130">
        <v>2</v>
      </c>
      <c r="Q132" s="140">
        <v>6</v>
      </c>
      <c r="R132" s="131"/>
    </row>
    <row r="133" spans="1:35" x14ac:dyDescent="0.2">
      <c r="A133" s="280"/>
      <c r="B133" s="114">
        <f t="shared" si="476"/>
        <v>16.274752475247524</v>
      </c>
      <c r="C133" s="125">
        <v>80.98859315589354</v>
      </c>
      <c r="D133" s="126">
        <v>48.28897338403042</v>
      </c>
      <c r="E133" s="126">
        <v>49.809885931558931</v>
      </c>
      <c r="F133" s="126">
        <v>3.041825095057034</v>
      </c>
      <c r="G133" s="126">
        <v>10.266159695817491</v>
      </c>
      <c r="H133" s="126">
        <v>10.266159695817491</v>
      </c>
      <c r="I133" s="127">
        <v>0.76045627376425851</v>
      </c>
      <c r="J133" s="126">
        <v>18.250950570342205</v>
      </c>
      <c r="K133" s="126">
        <v>14.068441064638785</v>
      </c>
      <c r="L133" s="126">
        <v>12.547528517110266</v>
      </c>
      <c r="M133" s="126">
        <v>4.9429657794676807</v>
      </c>
      <c r="N133" s="126">
        <v>5.7034220532319395</v>
      </c>
      <c r="O133" s="127">
        <v>0.76045627376425851</v>
      </c>
      <c r="P133" s="126">
        <v>0.76045627376425851</v>
      </c>
      <c r="Q133" s="127">
        <v>2.2813688212927756</v>
      </c>
      <c r="R133" s="128"/>
    </row>
    <row r="134" spans="1:35" x14ac:dyDescent="0.2">
      <c r="A134" s="279" t="str">
        <f>A110</f>
        <v>その他(n = 18 )　　</v>
      </c>
      <c r="B134" s="113">
        <f t="shared" si="476"/>
        <v>18</v>
      </c>
      <c r="C134" s="129">
        <v>9</v>
      </c>
      <c r="D134" s="130">
        <v>12</v>
      </c>
      <c r="E134" s="130">
        <v>10</v>
      </c>
      <c r="F134" s="130">
        <v>1</v>
      </c>
      <c r="G134" s="130">
        <v>1</v>
      </c>
      <c r="H134" s="130">
        <v>1</v>
      </c>
      <c r="I134" s="140">
        <v>1</v>
      </c>
      <c r="J134" s="130">
        <v>1</v>
      </c>
      <c r="K134" s="130">
        <v>5</v>
      </c>
      <c r="L134" s="130">
        <v>4</v>
      </c>
      <c r="M134" s="130">
        <v>1</v>
      </c>
      <c r="N134" s="130">
        <v>2</v>
      </c>
      <c r="O134" s="140">
        <v>0</v>
      </c>
      <c r="P134" s="130">
        <v>0</v>
      </c>
      <c r="Q134" s="140">
        <v>0</v>
      </c>
      <c r="R134" s="131"/>
    </row>
    <row r="135" spans="1:35" x14ac:dyDescent="0.2">
      <c r="A135" s="280"/>
      <c r="B135" s="114">
        <v>2.064343163538874</v>
      </c>
      <c r="C135" s="125">
        <v>50</v>
      </c>
      <c r="D135" s="126">
        <v>66.666666666666657</v>
      </c>
      <c r="E135" s="126">
        <v>55.555555555555557</v>
      </c>
      <c r="F135" s="126">
        <v>5.5555555555555554</v>
      </c>
      <c r="G135" s="126">
        <v>5.5555555555555554</v>
      </c>
      <c r="H135" s="126">
        <v>5.5555555555555554</v>
      </c>
      <c r="I135" s="127">
        <v>5.5555555555555554</v>
      </c>
      <c r="J135" s="126">
        <v>5.5555555555555554</v>
      </c>
      <c r="K135" s="126">
        <v>27.777777777777779</v>
      </c>
      <c r="L135" s="126">
        <v>22.222222222222221</v>
      </c>
      <c r="M135" s="126">
        <v>5.5555555555555554</v>
      </c>
      <c r="N135" s="126">
        <v>11.111111111111111</v>
      </c>
      <c r="O135" s="127">
        <v>0</v>
      </c>
      <c r="P135" s="126">
        <v>0</v>
      </c>
      <c r="Q135" s="127">
        <v>0</v>
      </c>
      <c r="R135" s="128"/>
    </row>
    <row r="137" spans="1:35" ht="13.5" customHeight="1" x14ac:dyDescent="0.2">
      <c r="A137" s="36" t="s">
        <v>61</v>
      </c>
      <c r="B137" s="8"/>
      <c r="C137" s="27">
        <v>1</v>
      </c>
      <c r="D137" s="27">
        <v>2</v>
      </c>
      <c r="E137" s="27">
        <v>3</v>
      </c>
      <c r="F137" s="27">
        <v>4</v>
      </c>
      <c r="G137" s="27">
        <v>5</v>
      </c>
      <c r="H137" s="27">
        <v>6</v>
      </c>
      <c r="I137" s="27">
        <v>7</v>
      </c>
      <c r="J137" s="27">
        <v>8</v>
      </c>
      <c r="K137" s="27">
        <v>9</v>
      </c>
      <c r="L137" s="27">
        <v>10</v>
      </c>
      <c r="M137" s="27">
        <v>11</v>
      </c>
      <c r="N137" s="27">
        <v>12</v>
      </c>
      <c r="O137" s="27">
        <v>13</v>
      </c>
      <c r="P137" s="27">
        <v>14</v>
      </c>
      <c r="Q137" s="27">
        <v>15</v>
      </c>
      <c r="R137" s="27">
        <v>16</v>
      </c>
      <c r="T137" s="45"/>
      <c r="U137" s="27">
        <v>1</v>
      </c>
      <c r="V137" s="27">
        <v>2</v>
      </c>
      <c r="W137" s="27">
        <v>3</v>
      </c>
      <c r="X137" s="27">
        <v>4</v>
      </c>
      <c r="Y137" s="27">
        <v>5</v>
      </c>
      <c r="Z137" s="27">
        <v>6</v>
      </c>
      <c r="AA137" s="27">
        <v>7</v>
      </c>
      <c r="AB137" s="27">
        <v>8</v>
      </c>
      <c r="AC137" s="27">
        <v>9</v>
      </c>
      <c r="AD137" s="27">
        <v>10</v>
      </c>
      <c r="AE137" s="27">
        <v>11</v>
      </c>
      <c r="AF137" s="27">
        <v>12</v>
      </c>
      <c r="AG137" s="27">
        <v>13</v>
      </c>
      <c r="AH137" s="27">
        <v>14</v>
      </c>
      <c r="AI137" s="27">
        <v>15</v>
      </c>
    </row>
    <row r="138" spans="1:35" ht="33.75" customHeight="1" x14ac:dyDescent="0.2">
      <c r="A138" s="12" t="str">
        <f>A115</f>
        <v>【職業別】</v>
      </c>
      <c r="B138" s="59" t="str">
        <f>B115</f>
        <v>調査数</v>
      </c>
      <c r="C138" s="60" t="str">
        <f t="shared" ref="C138:P138" si="477">C115</f>
        <v>健康・体力づくり</v>
      </c>
      <c r="D138" s="61" t="str">
        <f t="shared" si="477"/>
        <v>家計の安定・充実</v>
      </c>
      <c r="E138" s="61" t="str">
        <f t="shared" si="477"/>
        <v>老後の生活への準備</v>
      </c>
      <c r="F138" s="61" t="str">
        <f t="shared" si="477"/>
        <v>仕事（家業・学業を含む）</v>
      </c>
      <c r="G138" s="61" t="str">
        <f t="shared" si="477"/>
        <v>趣味・レジャー</v>
      </c>
      <c r="H138" s="61" t="str">
        <f t="shared" si="477"/>
        <v>家族との団らん</v>
      </c>
      <c r="I138" s="62" t="str">
        <f t="shared" si="477"/>
        <v>子育て・子どもの教育</v>
      </c>
      <c r="J138" s="61" t="str">
        <f t="shared" si="477"/>
        <v>家族の介護</v>
      </c>
      <c r="K138" s="61" t="str">
        <f t="shared" si="477"/>
        <v>住まいの改善・充実</v>
      </c>
      <c r="L138" s="61" t="str">
        <f t="shared" si="477"/>
        <v>衣・食生活の充実</v>
      </c>
      <c r="M138" s="61" t="str">
        <f t="shared" si="477"/>
        <v>知識や教養の向上</v>
      </c>
      <c r="N138" s="62" t="str">
        <f t="shared" si="477"/>
        <v>ボランティアや地域活動</v>
      </c>
      <c r="O138" s="62" t="str">
        <f t="shared" si="477"/>
        <v>社会的地位の向上</v>
      </c>
      <c r="P138" s="62" t="str">
        <f t="shared" si="477"/>
        <v>その他</v>
      </c>
      <c r="Q138" s="62" t="str">
        <f t="shared" ref="Q138" si="478">Q115</f>
        <v>特にない</v>
      </c>
      <c r="R138" s="63"/>
      <c r="S138" s="44" t="s">
        <v>32</v>
      </c>
      <c r="T138" s="12" t="str">
        <f>A138</f>
        <v>【職業別】</v>
      </c>
      <c r="U138" s="60" t="str">
        <f>C138</f>
        <v>健康・体力づくり</v>
      </c>
      <c r="V138" s="61" t="str">
        <f t="shared" ref="V138" si="479">D138</f>
        <v>家計の安定・充実</v>
      </c>
      <c r="W138" s="61" t="str">
        <f t="shared" ref="W138" si="480">E138</f>
        <v>老後の生活への準備</v>
      </c>
      <c r="X138" s="61" t="str">
        <f t="shared" ref="X138" si="481">F138</f>
        <v>仕事（家業・学業を含む）</v>
      </c>
      <c r="Y138" s="61" t="str">
        <f t="shared" ref="Y138" si="482">G138</f>
        <v>趣味・レジャー</v>
      </c>
      <c r="Z138" s="61" t="str">
        <f t="shared" ref="Z138" si="483">H138</f>
        <v>家族との団らん</v>
      </c>
      <c r="AA138" s="62" t="str">
        <f t="shared" ref="AA138" si="484">I138</f>
        <v>子育て・子どもの教育</v>
      </c>
      <c r="AB138" s="106" t="str">
        <f t="shared" ref="AB138" si="485">J138</f>
        <v>家族の介護</v>
      </c>
      <c r="AC138" s="105" t="str">
        <f t="shared" ref="AC138" si="486">K138</f>
        <v>住まいの改善・充実</v>
      </c>
      <c r="AD138" s="61" t="str">
        <f t="shared" ref="AD138" si="487">L138</f>
        <v>衣・食生活の充実</v>
      </c>
      <c r="AE138" s="61" t="str">
        <f t="shared" ref="AE138" si="488">M138</f>
        <v>知識や教養の向上</v>
      </c>
      <c r="AF138" s="62" t="str">
        <f t="shared" ref="AF138" si="489">N138</f>
        <v>ボランティアや地域活動</v>
      </c>
      <c r="AG138" s="62" t="str">
        <f t="shared" ref="AG138" si="490">O138</f>
        <v>社会的地位の向上</v>
      </c>
      <c r="AH138" s="62" t="str">
        <f>P138</f>
        <v>その他</v>
      </c>
      <c r="AI138" s="63" t="str">
        <f t="shared" ref="AI138" si="491">Q138</f>
        <v>特にない</v>
      </c>
    </row>
    <row r="139" spans="1:35" ht="13.5" customHeight="1" x14ac:dyDescent="0.2">
      <c r="A139" s="269" t="str">
        <f>'問3M（表）'!A139:A140</f>
        <v>全体(n = 1,616 )　　</v>
      </c>
      <c r="B139" s="113">
        <f>B116</f>
        <v>1616</v>
      </c>
      <c r="C139" s="129">
        <f>C116</f>
        <v>1031</v>
      </c>
      <c r="D139" s="130">
        <f t="shared" ref="D139:O139" si="492">D116</f>
        <v>900</v>
      </c>
      <c r="E139" s="130">
        <f t="shared" si="492"/>
        <v>641</v>
      </c>
      <c r="F139" s="130">
        <f t="shared" si="492"/>
        <v>307</v>
      </c>
      <c r="G139" s="130">
        <f t="shared" si="492"/>
        <v>285</v>
      </c>
      <c r="H139" s="130">
        <f t="shared" si="492"/>
        <v>233</v>
      </c>
      <c r="I139" s="140">
        <f t="shared" si="492"/>
        <v>225</v>
      </c>
      <c r="J139" s="130">
        <f t="shared" si="492"/>
        <v>216</v>
      </c>
      <c r="K139" s="130">
        <f t="shared" si="492"/>
        <v>206</v>
      </c>
      <c r="L139" s="130">
        <f t="shared" si="492"/>
        <v>186</v>
      </c>
      <c r="M139" s="130">
        <f t="shared" si="492"/>
        <v>120</v>
      </c>
      <c r="N139" s="130">
        <f t="shared" si="492"/>
        <v>45</v>
      </c>
      <c r="O139" s="140">
        <f t="shared" si="492"/>
        <v>19</v>
      </c>
      <c r="P139" s="140">
        <f>P116</f>
        <v>11</v>
      </c>
      <c r="Q139" s="140">
        <f t="shared" ref="Q139" si="493">Q116</f>
        <v>20</v>
      </c>
      <c r="R139" s="131"/>
      <c r="S139" s="104">
        <f>SUM($C139:R139)</f>
        <v>4445</v>
      </c>
      <c r="T139" s="93" t="str">
        <f>A141</f>
        <v>自営業(n = 175 )　　</v>
      </c>
      <c r="U139" s="84">
        <f>C142</f>
        <v>65.714285714285708</v>
      </c>
      <c r="V139" s="85">
        <f t="shared" ref="V139:AI139" si="494">D142</f>
        <v>52</v>
      </c>
      <c r="W139" s="85">
        <f t="shared" si="494"/>
        <v>44.571428571428569</v>
      </c>
      <c r="X139" s="85">
        <f t="shared" si="494"/>
        <v>37.714285714285715</v>
      </c>
      <c r="Y139" s="85">
        <f t="shared" si="494"/>
        <v>9.1428571428571423</v>
      </c>
      <c r="Z139" s="85">
        <f t="shared" si="494"/>
        <v>8.5714285714285712</v>
      </c>
      <c r="AA139" s="86">
        <f t="shared" si="494"/>
        <v>6.8571428571428577</v>
      </c>
      <c r="AB139" s="108">
        <f t="shared" si="494"/>
        <v>10.857142857142858</v>
      </c>
      <c r="AC139" s="157">
        <f t="shared" si="494"/>
        <v>14.857142857142858</v>
      </c>
      <c r="AD139" s="85">
        <f t="shared" si="494"/>
        <v>9.1428571428571423</v>
      </c>
      <c r="AE139" s="85">
        <f t="shared" si="494"/>
        <v>8.5714285714285712</v>
      </c>
      <c r="AF139" s="86">
        <f t="shared" si="494"/>
        <v>2.2857142857142856</v>
      </c>
      <c r="AG139" s="86">
        <f t="shared" si="494"/>
        <v>1.7142857142857144</v>
      </c>
      <c r="AH139" s="86">
        <f t="shared" si="494"/>
        <v>1.1428571428571428</v>
      </c>
      <c r="AI139" s="87">
        <f t="shared" si="494"/>
        <v>2.8571428571428572</v>
      </c>
    </row>
    <row r="140" spans="1:35" ht="13.5" customHeight="1" x14ac:dyDescent="0.2">
      <c r="A140" s="270"/>
      <c r="B140" s="148">
        <f t="shared" ref="B140" si="495">B117</f>
        <v>100</v>
      </c>
      <c r="C140" s="125">
        <f t="shared" ref="C140:C142" si="496">C117</f>
        <v>63.799504950495049</v>
      </c>
      <c r="D140" s="126">
        <f t="shared" ref="D140:P140" si="497">D117</f>
        <v>55.693069306930695</v>
      </c>
      <c r="E140" s="126">
        <f t="shared" si="497"/>
        <v>39.665841584158414</v>
      </c>
      <c r="F140" s="126">
        <f t="shared" si="497"/>
        <v>18.997524752475247</v>
      </c>
      <c r="G140" s="126">
        <f t="shared" si="497"/>
        <v>17.636138613861384</v>
      </c>
      <c r="H140" s="126">
        <f t="shared" si="497"/>
        <v>14.418316831683168</v>
      </c>
      <c r="I140" s="127">
        <f t="shared" si="497"/>
        <v>13.923267326732674</v>
      </c>
      <c r="J140" s="126">
        <f t="shared" si="497"/>
        <v>13.366336633663368</v>
      </c>
      <c r="K140" s="126">
        <f t="shared" si="497"/>
        <v>12.747524752475247</v>
      </c>
      <c r="L140" s="126">
        <f t="shared" si="497"/>
        <v>11.509900990099011</v>
      </c>
      <c r="M140" s="126">
        <f t="shared" si="497"/>
        <v>7.4257425742574252</v>
      </c>
      <c r="N140" s="126">
        <f t="shared" si="497"/>
        <v>2.7846534653465347</v>
      </c>
      <c r="O140" s="127">
        <f t="shared" si="497"/>
        <v>1.1757425742574257</v>
      </c>
      <c r="P140" s="127">
        <f t="shared" si="497"/>
        <v>0.68069306930693074</v>
      </c>
      <c r="Q140" s="127">
        <f t="shared" ref="Q140" si="498">Q117</f>
        <v>1.2376237623762376</v>
      </c>
      <c r="R140" s="128"/>
      <c r="S140" s="104"/>
      <c r="T140" s="95" t="str">
        <f>A143</f>
        <v>会社・団体役員(n = 171 )　　</v>
      </c>
      <c r="U140" s="88">
        <f>C144</f>
        <v>58.479532163742689</v>
      </c>
      <c r="V140" s="89">
        <f t="shared" ref="V140:AI140" si="499">D144</f>
        <v>55.555555555555557</v>
      </c>
      <c r="W140" s="89">
        <f t="shared" si="499"/>
        <v>32.163742690058477</v>
      </c>
      <c r="X140" s="89">
        <f t="shared" si="499"/>
        <v>26.900584795321635</v>
      </c>
      <c r="Y140" s="89">
        <f t="shared" si="499"/>
        <v>22.807017543859647</v>
      </c>
      <c r="Z140" s="89">
        <f t="shared" si="499"/>
        <v>16.959064327485379</v>
      </c>
      <c r="AA140" s="90">
        <f t="shared" si="499"/>
        <v>18.71345029239766</v>
      </c>
      <c r="AB140" s="109">
        <f t="shared" si="499"/>
        <v>12.280701754385964</v>
      </c>
      <c r="AC140" s="158">
        <f t="shared" si="499"/>
        <v>9.9415204678362574</v>
      </c>
      <c r="AD140" s="89">
        <f t="shared" si="499"/>
        <v>12.865497076023392</v>
      </c>
      <c r="AE140" s="89">
        <f t="shared" si="499"/>
        <v>9.9415204678362574</v>
      </c>
      <c r="AF140" s="90">
        <f t="shared" si="499"/>
        <v>1.7543859649122806</v>
      </c>
      <c r="AG140" s="90">
        <f t="shared" si="499"/>
        <v>0.58479532163742687</v>
      </c>
      <c r="AH140" s="90">
        <f t="shared" si="499"/>
        <v>1.7543859649122806</v>
      </c>
      <c r="AI140" s="91">
        <f t="shared" si="499"/>
        <v>0.58479532163742687</v>
      </c>
    </row>
    <row r="141" spans="1:35" ht="13.5" customHeight="1" x14ac:dyDescent="0.2">
      <c r="A141" s="269" t="str">
        <f>'問3M（表）'!A141:A142</f>
        <v>自営業(n = 175 )　　</v>
      </c>
      <c r="B141" s="113">
        <f t="shared" ref="B141" si="500">B118</f>
        <v>175</v>
      </c>
      <c r="C141" s="129">
        <f t="shared" si="496"/>
        <v>115</v>
      </c>
      <c r="D141" s="130">
        <f t="shared" ref="D141:P141" si="501">D118</f>
        <v>91</v>
      </c>
      <c r="E141" s="130">
        <f t="shared" si="501"/>
        <v>78</v>
      </c>
      <c r="F141" s="130">
        <f t="shared" si="501"/>
        <v>66</v>
      </c>
      <c r="G141" s="130">
        <f t="shared" si="501"/>
        <v>16</v>
      </c>
      <c r="H141" s="130">
        <f t="shared" si="501"/>
        <v>15</v>
      </c>
      <c r="I141" s="140">
        <f t="shared" si="501"/>
        <v>12</v>
      </c>
      <c r="J141" s="130">
        <f t="shared" si="501"/>
        <v>19</v>
      </c>
      <c r="K141" s="130">
        <f t="shared" si="501"/>
        <v>26</v>
      </c>
      <c r="L141" s="130">
        <f t="shared" si="501"/>
        <v>16</v>
      </c>
      <c r="M141" s="130">
        <f t="shared" si="501"/>
        <v>15</v>
      </c>
      <c r="N141" s="130">
        <f t="shared" si="501"/>
        <v>4</v>
      </c>
      <c r="O141" s="140">
        <f t="shared" si="501"/>
        <v>3</v>
      </c>
      <c r="P141" s="140">
        <f t="shared" si="501"/>
        <v>2</v>
      </c>
      <c r="Q141" s="140">
        <f t="shared" ref="Q141" si="502">Q118</f>
        <v>5</v>
      </c>
      <c r="R141" s="131"/>
      <c r="S141" s="104">
        <f>SUM($C141:R141)</f>
        <v>483</v>
      </c>
      <c r="T141" s="95" t="str">
        <f>A145</f>
        <v>正規の従業員・職員(n = 423 )　　</v>
      </c>
      <c r="U141" s="88">
        <f>C146</f>
        <v>54.846335697399532</v>
      </c>
      <c r="V141" s="89">
        <f t="shared" ref="V141:AI141" si="503">D146</f>
        <v>61.702127659574465</v>
      </c>
      <c r="W141" s="89">
        <f t="shared" si="503"/>
        <v>33.333333333333329</v>
      </c>
      <c r="X141" s="89">
        <f t="shared" si="503"/>
        <v>22.695035460992909</v>
      </c>
      <c r="Y141" s="89">
        <f t="shared" si="503"/>
        <v>24.113475177304963</v>
      </c>
      <c r="Z141" s="89">
        <f t="shared" si="503"/>
        <v>18.912529550827422</v>
      </c>
      <c r="AA141" s="90">
        <f t="shared" si="503"/>
        <v>20.803782505910164</v>
      </c>
      <c r="AB141" s="109">
        <f t="shared" si="503"/>
        <v>13.238770685579196</v>
      </c>
      <c r="AC141" s="158">
        <f t="shared" si="503"/>
        <v>14.184397163120568</v>
      </c>
      <c r="AD141" s="89">
        <f t="shared" si="503"/>
        <v>9.456264775413711</v>
      </c>
      <c r="AE141" s="89">
        <f t="shared" si="503"/>
        <v>6.6193853427895979</v>
      </c>
      <c r="AF141" s="90">
        <f t="shared" si="503"/>
        <v>1.1820330969267139</v>
      </c>
      <c r="AG141" s="90">
        <f t="shared" si="503"/>
        <v>0.94562647754137119</v>
      </c>
      <c r="AH141" s="90">
        <f t="shared" si="503"/>
        <v>0.4728132387706856</v>
      </c>
      <c r="AI141" s="91">
        <f t="shared" si="503"/>
        <v>0.70921985815602839</v>
      </c>
    </row>
    <row r="142" spans="1:35" ht="13.5" customHeight="1" x14ac:dyDescent="0.2">
      <c r="A142" s="270"/>
      <c r="B142" s="148">
        <f t="shared" ref="B142" si="504">B119</f>
        <v>10.829207920792079</v>
      </c>
      <c r="C142" s="125">
        <f t="shared" si="496"/>
        <v>65.714285714285708</v>
      </c>
      <c r="D142" s="126">
        <f t="shared" ref="D142:P142" si="505">D119</f>
        <v>52</v>
      </c>
      <c r="E142" s="126">
        <f t="shared" si="505"/>
        <v>44.571428571428569</v>
      </c>
      <c r="F142" s="126">
        <f t="shared" si="505"/>
        <v>37.714285714285715</v>
      </c>
      <c r="G142" s="126">
        <f t="shared" si="505"/>
        <v>9.1428571428571423</v>
      </c>
      <c r="H142" s="126">
        <f t="shared" si="505"/>
        <v>8.5714285714285712</v>
      </c>
      <c r="I142" s="127">
        <f t="shared" si="505"/>
        <v>6.8571428571428577</v>
      </c>
      <c r="J142" s="126">
        <f t="shared" si="505"/>
        <v>10.857142857142858</v>
      </c>
      <c r="K142" s="126">
        <f t="shared" si="505"/>
        <v>14.857142857142858</v>
      </c>
      <c r="L142" s="126">
        <f t="shared" si="505"/>
        <v>9.1428571428571423</v>
      </c>
      <c r="M142" s="126">
        <f t="shared" si="505"/>
        <v>8.5714285714285712</v>
      </c>
      <c r="N142" s="126">
        <f t="shared" si="505"/>
        <v>2.2857142857142856</v>
      </c>
      <c r="O142" s="127">
        <f t="shared" si="505"/>
        <v>1.7142857142857144</v>
      </c>
      <c r="P142" s="127">
        <f t="shared" si="505"/>
        <v>1.1428571428571428</v>
      </c>
      <c r="Q142" s="127">
        <f t="shared" ref="Q142" si="506">Q119</f>
        <v>2.8571428571428572</v>
      </c>
      <c r="R142" s="128"/>
      <c r="S142" s="104"/>
      <c r="T142" s="95" t="str">
        <f>A147</f>
        <v>パートタイム・アルバイト・派遣(n = 346 )　　</v>
      </c>
      <c r="U142" s="88">
        <f>C148</f>
        <v>68.20809248554913</v>
      </c>
      <c r="V142" s="89">
        <f t="shared" ref="V142:AI142" si="507">D148</f>
        <v>60.115606936416185</v>
      </c>
      <c r="W142" s="89">
        <f t="shared" si="507"/>
        <v>43.063583815028899</v>
      </c>
      <c r="X142" s="89">
        <f t="shared" si="507"/>
        <v>15.606936416184972</v>
      </c>
      <c r="Y142" s="89">
        <f t="shared" si="507"/>
        <v>16.473988439306357</v>
      </c>
      <c r="Z142" s="89">
        <f t="shared" si="507"/>
        <v>15.606936416184972</v>
      </c>
      <c r="AA142" s="90">
        <f t="shared" si="507"/>
        <v>18.20809248554913</v>
      </c>
      <c r="AB142" s="109">
        <f t="shared" si="507"/>
        <v>12.427745664739884</v>
      </c>
      <c r="AC142" s="158">
        <f t="shared" si="507"/>
        <v>9.8265895953757223</v>
      </c>
      <c r="AD142" s="89">
        <f t="shared" si="507"/>
        <v>11.849710982658959</v>
      </c>
      <c r="AE142" s="89">
        <f t="shared" si="507"/>
        <v>6.0693641618497107</v>
      </c>
      <c r="AF142" s="90">
        <f t="shared" si="507"/>
        <v>2.601156069364162</v>
      </c>
      <c r="AG142" s="90">
        <f t="shared" si="507"/>
        <v>0.86705202312138718</v>
      </c>
      <c r="AH142" s="90">
        <f t="shared" si="507"/>
        <v>0.28901734104046239</v>
      </c>
      <c r="AI142" s="91">
        <f t="shared" si="507"/>
        <v>1.1560693641618496</v>
      </c>
    </row>
    <row r="143" spans="1:35" ht="13.5" customHeight="1" x14ac:dyDescent="0.2">
      <c r="A143" s="269" t="str">
        <f>'問3M（表）'!A143:A144</f>
        <v>会社・団体役員(n = 171 )　　</v>
      </c>
      <c r="B143" s="113">
        <f>B122</f>
        <v>171</v>
      </c>
      <c r="C143" s="129">
        <f>C122</f>
        <v>100</v>
      </c>
      <c r="D143" s="130">
        <f t="shared" ref="D143:O143" si="508">D122</f>
        <v>95</v>
      </c>
      <c r="E143" s="130">
        <f t="shared" si="508"/>
        <v>55</v>
      </c>
      <c r="F143" s="130">
        <f t="shared" si="508"/>
        <v>46</v>
      </c>
      <c r="G143" s="130">
        <f t="shared" si="508"/>
        <v>39</v>
      </c>
      <c r="H143" s="130">
        <f t="shared" si="508"/>
        <v>29</v>
      </c>
      <c r="I143" s="140">
        <f t="shared" si="508"/>
        <v>32</v>
      </c>
      <c r="J143" s="130">
        <f t="shared" si="508"/>
        <v>21</v>
      </c>
      <c r="K143" s="130">
        <f t="shared" si="508"/>
        <v>17</v>
      </c>
      <c r="L143" s="130">
        <f t="shared" si="508"/>
        <v>22</v>
      </c>
      <c r="M143" s="130">
        <f t="shared" si="508"/>
        <v>17</v>
      </c>
      <c r="N143" s="130">
        <f t="shared" si="508"/>
        <v>3</v>
      </c>
      <c r="O143" s="140">
        <f t="shared" si="508"/>
        <v>1</v>
      </c>
      <c r="P143" s="140">
        <f>P122</f>
        <v>3</v>
      </c>
      <c r="Q143" s="140">
        <f t="shared" ref="Q143" si="509">Q122</f>
        <v>1</v>
      </c>
      <c r="R143" s="131"/>
      <c r="S143" s="104">
        <f>SUM($C143:R143)</f>
        <v>481</v>
      </c>
      <c r="T143" s="96" t="str">
        <f>A149</f>
        <v>家事従事(n = 150 )　　</v>
      </c>
      <c r="U143" s="97">
        <f>C150</f>
        <v>68</v>
      </c>
      <c r="V143" s="98">
        <f t="shared" ref="V143:AI143" si="510">D150</f>
        <v>53.333333333333336</v>
      </c>
      <c r="W143" s="98">
        <f t="shared" si="510"/>
        <v>48</v>
      </c>
      <c r="X143" s="98">
        <f t="shared" si="510"/>
        <v>7.333333333333333</v>
      </c>
      <c r="Y143" s="98">
        <f t="shared" si="510"/>
        <v>13.333333333333334</v>
      </c>
      <c r="Z143" s="98">
        <f t="shared" si="510"/>
        <v>12</v>
      </c>
      <c r="AA143" s="110">
        <f t="shared" si="510"/>
        <v>17.333333333333336</v>
      </c>
      <c r="AB143" s="111">
        <f t="shared" si="510"/>
        <v>16</v>
      </c>
      <c r="AC143" s="159">
        <f t="shared" si="510"/>
        <v>15.333333333333332</v>
      </c>
      <c r="AD143" s="98">
        <f t="shared" si="510"/>
        <v>14.000000000000002</v>
      </c>
      <c r="AE143" s="98">
        <f t="shared" si="510"/>
        <v>6</v>
      </c>
      <c r="AF143" s="110">
        <f t="shared" si="510"/>
        <v>4</v>
      </c>
      <c r="AG143" s="110">
        <f t="shared" si="510"/>
        <v>0</v>
      </c>
      <c r="AH143" s="110">
        <f t="shared" si="510"/>
        <v>0.66666666666666674</v>
      </c>
      <c r="AI143" s="99">
        <f t="shared" si="510"/>
        <v>0.66666666666666674</v>
      </c>
    </row>
    <row r="144" spans="1:35" ht="13.5" customHeight="1" x14ac:dyDescent="0.2">
      <c r="A144" s="270"/>
      <c r="B144" s="148">
        <f t="shared" ref="B144" si="511">B123</f>
        <v>10.581683168316831</v>
      </c>
      <c r="C144" s="125">
        <f t="shared" ref="C144:C148" si="512">C123</f>
        <v>58.479532163742689</v>
      </c>
      <c r="D144" s="126">
        <f t="shared" ref="D144:P144" si="513">D123</f>
        <v>55.555555555555557</v>
      </c>
      <c r="E144" s="126">
        <f t="shared" si="513"/>
        <v>32.163742690058477</v>
      </c>
      <c r="F144" s="126">
        <f t="shared" si="513"/>
        <v>26.900584795321635</v>
      </c>
      <c r="G144" s="126">
        <f t="shared" si="513"/>
        <v>22.807017543859647</v>
      </c>
      <c r="H144" s="126">
        <f t="shared" si="513"/>
        <v>16.959064327485379</v>
      </c>
      <c r="I144" s="127">
        <f t="shared" si="513"/>
        <v>18.71345029239766</v>
      </c>
      <c r="J144" s="126">
        <f t="shared" si="513"/>
        <v>12.280701754385964</v>
      </c>
      <c r="K144" s="126">
        <f t="shared" si="513"/>
        <v>9.9415204678362574</v>
      </c>
      <c r="L144" s="126">
        <f t="shared" si="513"/>
        <v>12.865497076023392</v>
      </c>
      <c r="M144" s="126">
        <f t="shared" si="513"/>
        <v>9.9415204678362574</v>
      </c>
      <c r="N144" s="126">
        <f t="shared" si="513"/>
        <v>1.7543859649122806</v>
      </c>
      <c r="O144" s="127">
        <f t="shared" si="513"/>
        <v>0.58479532163742687</v>
      </c>
      <c r="P144" s="127">
        <f t="shared" si="513"/>
        <v>1.7543859649122806</v>
      </c>
      <c r="Q144" s="127">
        <f t="shared" ref="Q144" si="514">Q123</f>
        <v>0.58479532163742687</v>
      </c>
      <c r="R144" s="128"/>
      <c r="S144" s="104"/>
      <c r="T144" s="95" t="str">
        <f>A151</f>
        <v>無職(n = 263 )　　</v>
      </c>
      <c r="U144" s="88">
        <f>C152</f>
        <v>80.98859315589354</v>
      </c>
      <c r="V144" s="89">
        <f t="shared" ref="V144:AI144" si="515">D152</f>
        <v>48.28897338403042</v>
      </c>
      <c r="W144" s="89">
        <f t="shared" si="515"/>
        <v>49.809885931558931</v>
      </c>
      <c r="X144" s="89">
        <f t="shared" si="515"/>
        <v>3.041825095057034</v>
      </c>
      <c r="Y144" s="89">
        <f t="shared" si="515"/>
        <v>10.266159695817491</v>
      </c>
      <c r="Z144" s="89">
        <f t="shared" si="515"/>
        <v>10.266159695817491</v>
      </c>
      <c r="AA144" s="90">
        <f t="shared" si="515"/>
        <v>0.76045627376425851</v>
      </c>
      <c r="AB144" s="109">
        <f t="shared" si="515"/>
        <v>18.250950570342205</v>
      </c>
      <c r="AC144" s="158">
        <f t="shared" si="515"/>
        <v>14.068441064638785</v>
      </c>
      <c r="AD144" s="89">
        <f t="shared" si="515"/>
        <v>12.547528517110266</v>
      </c>
      <c r="AE144" s="89">
        <f t="shared" si="515"/>
        <v>4.9429657794676807</v>
      </c>
      <c r="AF144" s="90">
        <f t="shared" si="515"/>
        <v>5.7034220532319395</v>
      </c>
      <c r="AG144" s="90">
        <f t="shared" si="515"/>
        <v>0.76045627376425851</v>
      </c>
      <c r="AH144" s="90">
        <f t="shared" si="515"/>
        <v>0.76045627376425851</v>
      </c>
      <c r="AI144" s="91">
        <f t="shared" si="515"/>
        <v>2.2813688212927756</v>
      </c>
    </row>
    <row r="145" spans="1:35" ht="13.5" customHeight="1" x14ac:dyDescent="0.2">
      <c r="A145" s="271" t="str">
        <f>'問3M（表）'!A145:A146</f>
        <v>正規の従業員・職員(n = 423 )　　</v>
      </c>
      <c r="B145" s="113">
        <f t="shared" ref="B145" si="516">B124</f>
        <v>423</v>
      </c>
      <c r="C145" s="129">
        <f t="shared" si="512"/>
        <v>232</v>
      </c>
      <c r="D145" s="130">
        <f t="shared" ref="D145:P145" si="517">D124</f>
        <v>261</v>
      </c>
      <c r="E145" s="130">
        <f t="shared" si="517"/>
        <v>141</v>
      </c>
      <c r="F145" s="130">
        <f t="shared" si="517"/>
        <v>96</v>
      </c>
      <c r="G145" s="130">
        <f t="shared" si="517"/>
        <v>102</v>
      </c>
      <c r="H145" s="130">
        <f t="shared" si="517"/>
        <v>80</v>
      </c>
      <c r="I145" s="140">
        <f t="shared" si="517"/>
        <v>88</v>
      </c>
      <c r="J145" s="130">
        <f t="shared" si="517"/>
        <v>56</v>
      </c>
      <c r="K145" s="130">
        <f t="shared" si="517"/>
        <v>60</v>
      </c>
      <c r="L145" s="130">
        <f t="shared" si="517"/>
        <v>40</v>
      </c>
      <c r="M145" s="130">
        <f t="shared" si="517"/>
        <v>28</v>
      </c>
      <c r="N145" s="130">
        <f t="shared" si="517"/>
        <v>5</v>
      </c>
      <c r="O145" s="140">
        <f t="shared" si="517"/>
        <v>4</v>
      </c>
      <c r="P145" s="140">
        <f t="shared" si="517"/>
        <v>2</v>
      </c>
      <c r="Q145" s="140">
        <f t="shared" ref="Q145" si="518">Q124</f>
        <v>3</v>
      </c>
      <c r="R145" s="131"/>
      <c r="S145" s="104">
        <f>SUM($C145:R145)</f>
        <v>1198</v>
      </c>
      <c r="T145" s="94" t="str">
        <f>A153</f>
        <v>その他(n = 74 )　　</v>
      </c>
      <c r="U145" s="78">
        <f>C154</f>
        <v>44.594594594594597</v>
      </c>
      <c r="V145" s="79">
        <f t="shared" ref="V145:AI145" si="519">D154</f>
        <v>51.351351351351347</v>
      </c>
      <c r="W145" s="79">
        <f t="shared" si="519"/>
        <v>20.27027027027027</v>
      </c>
      <c r="X145" s="79">
        <f t="shared" si="519"/>
        <v>35.135135135135137</v>
      </c>
      <c r="Y145" s="79">
        <f t="shared" si="519"/>
        <v>32.432432432432435</v>
      </c>
      <c r="Z145" s="79">
        <f t="shared" si="519"/>
        <v>13.513513513513514</v>
      </c>
      <c r="AA145" s="80">
        <f t="shared" si="519"/>
        <v>2.7027027027027026</v>
      </c>
      <c r="AB145" s="107">
        <f t="shared" si="519"/>
        <v>6.756756756756757</v>
      </c>
      <c r="AC145" s="160">
        <f t="shared" si="519"/>
        <v>12.162162162162163</v>
      </c>
      <c r="AD145" s="79">
        <f t="shared" si="519"/>
        <v>17.567567567567568</v>
      </c>
      <c r="AE145" s="79">
        <f t="shared" si="519"/>
        <v>22.972972972972975</v>
      </c>
      <c r="AF145" s="80">
        <f t="shared" si="519"/>
        <v>4.0540540540540544</v>
      </c>
      <c r="AG145" s="80">
        <f t="shared" si="519"/>
        <v>8.1081081081081088</v>
      </c>
      <c r="AH145" s="80">
        <f t="shared" si="519"/>
        <v>0</v>
      </c>
      <c r="AI145" s="81">
        <f t="shared" si="519"/>
        <v>0</v>
      </c>
    </row>
    <row r="146" spans="1:35" x14ac:dyDescent="0.2">
      <c r="A146" s="272"/>
      <c r="B146" s="148">
        <f t="shared" ref="B146" si="520">B125</f>
        <v>26.175742574257427</v>
      </c>
      <c r="C146" s="125">
        <f t="shared" si="512"/>
        <v>54.846335697399532</v>
      </c>
      <c r="D146" s="126">
        <f t="shared" ref="D146:P146" si="521">D125</f>
        <v>61.702127659574465</v>
      </c>
      <c r="E146" s="126">
        <f t="shared" si="521"/>
        <v>33.333333333333329</v>
      </c>
      <c r="F146" s="126">
        <f t="shared" si="521"/>
        <v>22.695035460992909</v>
      </c>
      <c r="G146" s="126">
        <f t="shared" si="521"/>
        <v>24.113475177304963</v>
      </c>
      <c r="H146" s="126">
        <f t="shared" si="521"/>
        <v>18.912529550827422</v>
      </c>
      <c r="I146" s="127">
        <f t="shared" si="521"/>
        <v>20.803782505910164</v>
      </c>
      <c r="J146" s="126">
        <f t="shared" si="521"/>
        <v>13.238770685579196</v>
      </c>
      <c r="K146" s="126">
        <f t="shared" si="521"/>
        <v>14.184397163120568</v>
      </c>
      <c r="L146" s="126">
        <f t="shared" si="521"/>
        <v>9.456264775413711</v>
      </c>
      <c r="M146" s="126">
        <f t="shared" si="521"/>
        <v>6.6193853427895979</v>
      </c>
      <c r="N146" s="126">
        <f t="shared" si="521"/>
        <v>1.1820330969267139</v>
      </c>
      <c r="O146" s="127">
        <f t="shared" si="521"/>
        <v>0.94562647754137119</v>
      </c>
      <c r="P146" s="127">
        <f t="shared" si="521"/>
        <v>0.4728132387706856</v>
      </c>
      <c r="Q146" s="127">
        <f t="shared" ref="Q146" si="522">Q125</f>
        <v>0.70921985815602839</v>
      </c>
      <c r="R146" s="128"/>
      <c r="S146" s="195"/>
    </row>
    <row r="147" spans="1:35" ht="13.5" customHeight="1" x14ac:dyDescent="0.2">
      <c r="A147" s="265" t="str">
        <f>'問3M（表）'!A147:A148</f>
        <v>パートタイム・アルバイト・派遣(n = 346 )　　</v>
      </c>
      <c r="B147" s="113">
        <f t="shared" ref="B147" si="523">B126</f>
        <v>346</v>
      </c>
      <c r="C147" s="129">
        <f t="shared" si="512"/>
        <v>236</v>
      </c>
      <c r="D147" s="130">
        <f t="shared" ref="D147:P147" si="524">D126</f>
        <v>208</v>
      </c>
      <c r="E147" s="130">
        <f t="shared" si="524"/>
        <v>149</v>
      </c>
      <c r="F147" s="130">
        <f t="shared" si="524"/>
        <v>54</v>
      </c>
      <c r="G147" s="130">
        <f t="shared" si="524"/>
        <v>57</v>
      </c>
      <c r="H147" s="130">
        <f t="shared" si="524"/>
        <v>54</v>
      </c>
      <c r="I147" s="140">
        <f t="shared" si="524"/>
        <v>63</v>
      </c>
      <c r="J147" s="130">
        <f t="shared" si="524"/>
        <v>43</v>
      </c>
      <c r="K147" s="130">
        <f t="shared" si="524"/>
        <v>34</v>
      </c>
      <c r="L147" s="130">
        <f t="shared" si="524"/>
        <v>41</v>
      </c>
      <c r="M147" s="130">
        <f t="shared" si="524"/>
        <v>21</v>
      </c>
      <c r="N147" s="130">
        <f t="shared" si="524"/>
        <v>9</v>
      </c>
      <c r="O147" s="140">
        <f t="shared" si="524"/>
        <v>3</v>
      </c>
      <c r="P147" s="140">
        <f t="shared" si="524"/>
        <v>1</v>
      </c>
      <c r="Q147" s="140">
        <f t="shared" ref="Q147" si="525">Q126</f>
        <v>4</v>
      </c>
      <c r="R147" s="131"/>
      <c r="S147" s="104">
        <f>SUM($C147:R147)</f>
        <v>977</v>
      </c>
    </row>
    <row r="148" spans="1:35" x14ac:dyDescent="0.2">
      <c r="A148" s="266"/>
      <c r="B148" s="148">
        <f t="shared" ref="B148" si="526">B127</f>
        <v>21.410891089108912</v>
      </c>
      <c r="C148" s="125">
        <f t="shared" si="512"/>
        <v>68.20809248554913</v>
      </c>
      <c r="D148" s="126">
        <f t="shared" ref="D148:P148" si="527">D127</f>
        <v>60.115606936416185</v>
      </c>
      <c r="E148" s="126">
        <f t="shared" si="527"/>
        <v>43.063583815028899</v>
      </c>
      <c r="F148" s="126">
        <f t="shared" si="527"/>
        <v>15.606936416184972</v>
      </c>
      <c r="G148" s="126">
        <f t="shared" si="527"/>
        <v>16.473988439306357</v>
      </c>
      <c r="H148" s="126">
        <f t="shared" si="527"/>
        <v>15.606936416184972</v>
      </c>
      <c r="I148" s="127">
        <f t="shared" si="527"/>
        <v>18.20809248554913</v>
      </c>
      <c r="J148" s="126">
        <f t="shared" si="527"/>
        <v>12.427745664739884</v>
      </c>
      <c r="K148" s="126">
        <f t="shared" si="527"/>
        <v>9.8265895953757223</v>
      </c>
      <c r="L148" s="126">
        <f t="shared" si="527"/>
        <v>11.849710982658959</v>
      </c>
      <c r="M148" s="126">
        <f t="shared" si="527"/>
        <v>6.0693641618497107</v>
      </c>
      <c r="N148" s="126">
        <f t="shared" si="527"/>
        <v>2.601156069364162</v>
      </c>
      <c r="O148" s="127">
        <f t="shared" si="527"/>
        <v>0.86705202312138718</v>
      </c>
      <c r="P148" s="127">
        <f t="shared" si="527"/>
        <v>0.28901734104046239</v>
      </c>
      <c r="Q148" s="127">
        <f t="shared" ref="Q148" si="528">Q127</f>
        <v>1.1560693641618496</v>
      </c>
      <c r="R148" s="128"/>
      <c r="S148" s="195"/>
    </row>
    <row r="149" spans="1:35" ht="13.5" customHeight="1" x14ac:dyDescent="0.2">
      <c r="A149" s="269" t="str">
        <f>'問3M（表）'!A149:A150</f>
        <v>家事従事(n = 150 )　　</v>
      </c>
      <c r="B149" s="113">
        <f>B130</f>
        <v>150</v>
      </c>
      <c r="C149" s="129">
        <f>C130</f>
        <v>102</v>
      </c>
      <c r="D149" s="130">
        <f t="shared" ref="D149:O149" si="529">D130</f>
        <v>80</v>
      </c>
      <c r="E149" s="130">
        <f t="shared" si="529"/>
        <v>72</v>
      </c>
      <c r="F149" s="130">
        <f t="shared" si="529"/>
        <v>11</v>
      </c>
      <c r="G149" s="130">
        <f t="shared" si="529"/>
        <v>20</v>
      </c>
      <c r="H149" s="130">
        <f t="shared" si="529"/>
        <v>18</v>
      </c>
      <c r="I149" s="140">
        <f t="shared" si="529"/>
        <v>26</v>
      </c>
      <c r="J149" s="130">
        <f t="shared" si="529"/>
        <v>24</v>
      </c>
      <c r="K149" s="130">
        <f t="shared" si="529"/>
        <v>23</v>
      </c>
      <c r="L149" s="130">
        <f t="shared" si="529"/>
        <v>21</v>
      </c>
      <c r="M149" s="130">
        <f t="shared" si="529"/>
        <v>9</v>
      </c>
      <c r="N149" s="130">
        <f t="shared" si="529"/>
        <v>6</v>
      </c>
      <c r="O149" s="140">
        <f t="shared" si="529"/>
        <v>0</v>
      </c>
      <c r="P149" s="140">
        <f>P130</f>
        <v>1</v>
      </c>
      <c r="Q149" s="140">
        <f t="shared" ref="Q149" si="530">Q130</f>
        <v>1</v>
      </c>
      <c r="R149" s="131"/>
      <c r="S149" s="104">
        <f>SUM($C149:R149)</f>
        <v>414</v>
      </c>
    </row>
    <row r="150" spans="1:35" x14ac:dyDescent="0.2">
      <c r="A150" s="270"/>
      <c r="B150" s="148">
        <f t="shared" ref="B150" si="531">B131</f>
        <v>9.282178217821782</v>
      </c>
      <c r="C150" s="125">
        <f t="shared" ref="C150:C152" si="532">C131</f>
        <v>68</v>
      </c>
      <c r="D150" s="126">
        <f t="shared" ref="D150:P150" si="533">D131</f>
        <v>53.333333333333336</v>
      </c>
      <c r="E150" s="126">
        <f t="shared" si="533"/>
        <v>48</v>
      </c>
      <c r="F150" s="126">
        <f t="shared" si="533"/>
        <v>7.333333333333333</v>
      </c>
      <c r="G150" s="126">
        <f t="shared" si="533"/>
        <v>13.333333333333334</v>
      </c>
      <c r="H150" s="126">
        <f t="shared" si="533"/>
        <v>12</v>
      </c>
      <c r="I150" s="127">
        <f t="shared" si="533"/>
        <v>17.333333333333336</v>
      </c>
      <c r="J150" s="126">
        <f t="shared" si="533"/>
        <v>16</v>
      </c>
      <c r="K150" s="126">
        <f t="shared" si="533"/>
        <v>15.333333333333332</v>
      </c>
      <c r="L150" s="126">
        <f t="shared" si="533"/>
        <v>14.000000000000002</v>
      </c>
      <c r="M150" s="126">
        <f t="shared" si="533"/>
        <v>6</v>
      </c>
      <c r="N150" s="126">
        <f t="shared" si="533"/>
        <v>4</v>
      </c>
      <c r="O150" s="127">
        <f t="shared" si="533"/>
        <v>0</v>
      </c>
      <c r="P150" s="127">
        <f t="shared" si="533"/>
        <v>0.66666666666666674</v>
      </c>
      <c r="Q150" s="127">
        <f t="shared" ref="Q150" si="534">Q131</f>
        <v>0.66666666666666674</v>
      </c>
      <c r="R150" s="128"/>
      <c r="S150" s="195"/>
    </row>
    <row r="151" spans="1:35" ht="13.5" customHeight="1" x14ac:dyDescent="0.2">
      <c r="A151" s="269" t="str">
        <f>'問3M（表）'!A151:A152</f>
        <v>無職(n = 263 )　　</v>
      </c>
      <c r="B151" s="113">
        <f t="shared" ref="B151" si="535">B132</f>
        <v>263</v>
      </c>
      <c r="C151" s="129">
        <f t="shared" si="532"/>
        <v>213</v>
      </c>
      <c r="D151" s="130">
        <f t="shared" ref="D151:P151" si="536">D132</f>
        <v>127</v>
      </c>
      <c r="E151" s="130">
        <f t="shared" si="536"/>
        <v>131</v>
      </c>
      <c r="F151" s="130">
        <f t="shared" si="536"/>
        <v>8</v>
      </c>
      <c r="G151" s="130">
        <f t="shared" si="536"/>
        <v>27</v>
      </c>
      <c r="H151" s="130">
        <f t="shared" si="536"/>
        <v>27</v>
      </c>
      <c r="I151" s="140">
        <f t="shared" si="536"/>
        <v>2</v>
      </c>
      <c r="J151" s="130">
        <f t="shared" si="536"/>
        <v>48</v>
      </c>
      <c r="K151" s="130">
        <f t="shared" si="536"/>
        <v>37</v>
      </c>
      <c r="L151" s="130">
        <f t="shared" si="536"/>
        <v>33</v>
      </c>
      <c r="M151" s="130">
        <f t="shared" si="536"/>
        <v>13</v>
      </c>
      <c r="N151" s="130">
        <f t="shared" si="536"/>
        <v>15</v>
      </c>
      <c r="O151" s="140">
        <f t="shared" si="536"/>
        <v>2</v>
      </c>
      <c r="P151" s="140">
        <f t="shared" si="536"/>
        <v>2</v>
      </c>
      <c r="Q151" s="140">
        <f t="shared" ref="Q151" si="537">Q132</f>
        <v>6</v>
      </c>
      <c r="R151" s="131"/>
      <c r="S151" s="104">
        <f>SUM($C151:R151)</f>
        <v>691</v>
      </c>
    </row>
    <row r="152" spans="1:35" x14ac:dyDescent="0.2">
      <c r="A152" s="270"/>
      <c r="B152" s="148">
        <f t="shared" ref="B152" si="538">B133</f>
        <v>16.274752475247524</v>
      </c>
      <c r="C152" s="125">
        <f t="shared" si="532"/>
        <v>80.98859315589354</v>
      </c>
      <c r="D152" s="126">
        <f t="shared" ref="D152:P152" si="539">D133</f>
        <v>48.28897338403042</v>
      </c>
      <c r="E152" s="126">
        <f t="shared" si="539"/>
        <v>49.809885931558931</v>
      </c>
      <c r="F152" s="126">
        <f t="shared" si="539"/>
        <v>3.041825095057034</v>
      </c>
      <c r="G152" s="126">
        <f t="shared" si="539"/>
        <v>10.266159695817491</v>
      </c>
      <c r="H152" s="126">
        <f t="shared" si="539"/>
        <v>10.266159695817491</v>
      </c>
      <c r="I152" s="127">
        <f t="shared" si="539"/>
        <v>0.76045627376425851</v>
      </c>
      <c r="J152" s="126">
        <f t="shared" si="539"/>
        <v>18.250950570342205</v>
      </c>
      <c r="K152" s="126">
        <f t="shared" si="539"/>
        <v>14.068441064638785</v>
      </c>
      <c r="L152" s="126">
        <f t="shared" si="539"/>
        <v>12.547528517110266</v>
      </c>
      <c r="M152" s="126">
        <f t="shared" si="539"/>
        <v>4.9429657794676807</v>
      </c>
      <c r="N152" s="126">
        <f t="shared" si="539"/>
        <v>5.7034220532319395</v>
      </c>
      <c r="O152" s="127">
        <f t="shared" si="539"/>
        <v>0.76045627376425851</v>
      </c>
      <c r="P152" s="127">
        <f t="shared" si="539"/>
        <v>0.76045627376425851</v>
      </c>
      <c r="Q152" s="127">
        <f t="shared" ref="Q152" si="540">Q133</f>
        <v>2.2813688212927756</v>
      </c>
      <c r="R152" s="128"/>
      <c r="S152" s="195"/>
    </row>
    <row r="153" spans="1:35" ht="13.5" customHeight="1" x14ac:dyDescent="0.2">
      <c r="A153" s="269" t="str">
        <f>'問3M（表）'!A153:A154</f>
        <v>その他(n = 74 )　　</v>
      </c>
      <c r="B153" s="113">
        <f>B120+B128+B134</f>
        <v>74</v>
      </c>
      <c r="C153" s="129">
        <f>C120+C128+C134</f>
        <v>33</v>
      </c>
      <c r="D153" s="130">
        <f t="shared" ref="D153:O153" si="541">D120+D128+D134</f>
        <v>38</v>
      </c>
      <c r="E153" s="130">
        <f t="shared" si="541"/>
        <v>15</v>
      </c>
      <c r="F153" s="130">
        <f t="shared" si="541"/>
        <v>26</v>
      </c>
      <c r="G153" s="130">
        <f t="shared" si="541"/>
        <v>24</v>
      </c>
      <c r="H153" s="130">
        <f t="shared" si="541"/>
        <v>10</v>
      </c>
      <c r="I153" s="140">
        <f t="shared" si="541"/>
        <v>2</v>
      </c>
      <c r="J153" s="130">
        <f t="shared" si="541"/>
        <v>5</v>
      </c>
      <c r="K153" s="130">
        <f t="shared" si="541"/>
        <v>9</v>
      </c>
      <c r="L153" s="130">
        <f t="shared" si="541"/>
        <v>13</v>
      </c>
      <c r="M153" s="130">
        <f t="shared" si="541"/>
        <v>17</v>
      </c>
      <c r="N153" s="130">
        <f t="shared" si="541"/>
        <v>3</v>
      </c>
      <c r="O153" s="140">
        <f t="shared" si="541"/>
        <v>6</v>
      </c>
      <c r="P153" s="140">
        <f>P120+P128+P134</f>
        <v>0</v>
      </c>
      <c r="Q153" s="140">
        <f t="shared" ref="Q153" si="542">Q120+Q128+Q134</f>
        <v>0</v>
      </c>
      <c r="R153" s="131"/>
      <c r="S153" s="104">
        <f>SUM($C153:R153)</f>
        <v>201</v>
      </c>
    </row>
    <row r="154" spans="1:35" x14ac:dyDescent="0.2">
      <c r="A154" s="270"/>
      <c r="B154" s="125">
        <f>B153/$B$139*100</f>
        <v>4.5792079207920793</v>
      </c>
      <c r="C154" s="125">
        <f>(C153/$B$153)*100</f>
        <v>44.594594594594597</v>
      </c>
      <c r="D154" s="126">
        <f t="shared" ref="D154:O154" si="543">(D153/$B$153)*100</f>
        <v>51.351351351351347</v>
      </c>
      <c r="E154" s="126">
        <f t="shared" si="543"/>
        <v>20.27027027027027</v>
      </c>
      <c r="F154" s="126">
        <f t="shared" si="543"/>
        <v>35.135135135135137</v>
      </c>
      <c r="G154" s="126">
        <f t="shared" si="543"/>
        <v>32.432432432432435</v>
      </c>
      <c r="H154" s="126">
        <f t="shared" si="543"/>
        <v>13.513513513513514</v>
      </c>
      <c r="I154" s="127">
        <f t="shared" si="543"/>
        <v>2.7027027027027026</v>
      </c>
      <c r="J154" s="126">
        <f t="shared" si="543"/>
        <v>6.756756756756757</v>
      </c>
      <c r="K154" s="126">
        <f t="shared" si="543"/>
        <v>12.162162162162163</v>
      </c>
      <c r="L154" s="126">
        <f t="shared" si="543"/>
        <v>17.567567567567568</v>
      </c>
      <c r="M154" s="126">
        <f t="shared" si="543"/>
        <v>22.972972972972975</v>
      </c>
      <c r="N154" s="126">
        <f t="shared" si="543"/>
        <v>4.0540540540540544</v>
      </c>
      <c r="O154" s="127">
        <f t="shared" si="543"/>
        <v>8.1081081081081088</v>
      </c>
      <c r="P154" s="127">
        <f>(P153/$B$153)*100</f>
        <v>0</v>
      </c>
      <c r="Q154" s="127">
        <f t="shared" ref="Q154" si="544">(Q153/$B$153)*100</f>
        <v>0</v>
      </c>
      <c r="R154" s="128"/>
      <c r="S154" s="195"/>
    </row>
    <row r="155" spans="1:35" x14ac:dyDescent="0.2">
      <c r="S155" s="104"/>
    </row>
    <row r="156" spans="1:35" ht="13.5" customHeight="1" x14ac:dyDescent="0.2">
      <c r="A156" s="3" t="s">
        <v>64</v>
      </c>
      <c r="B156" s="1" t="str">
        <f>B90</f>
        <v>今後のくらしの中で重視していきたいこと</v>
      </c>
      <c r="C156" s="8"/>
      <c r="D156" s="9"/>
      <c r="E156" s="8"/>
      <c r="F156" s="8"/>
      <c r="G156" s="8"/>
      <c r="H156" s="9" t="s">
        <v>1</v>
      </c>
      <c r="I156" s="8"/>
      <c r="J156" s="8"/>
      <c r="K156" s="8"/>
      <c r="L156" s="8"/>
      <c r="M156" s="8"/>
      <c r="N156" s="8"/>
      <c r="O156" s="8"/>
      <c r="P156" s="8"/>
    </row>
    <row r="157" spans="1:35" ht="32.4" x14ac:dyDescent="0.2">
      <c r="A157" s="13" t="s">
        <v>63</v>
      </c>
      <c r="B157" s="37" t="str">
        <f>B91</f>
        <v>調査数</v>
      </c>
      <c r="C157" s="38" t="str">
        <f t="shared" ref="C157:Q157" si="545">C91</f>
        <v>健康・体力づくり</v>
      </c>
      <c r="D157" s="39" t="str">
        <f t="shared" si="545"/>
        <v>家計の安定・充実</v>
      </c>
      <c r="E157" s="39" t="str">
        <f t="shared" si="545"/>
        <v>知識や教養の向上</v>
      </c>
      <c r="F157" s="39" t="str">
        <f t="shared" si="545"/>
        <v>社会的地位の向上</v>
      </c>
      <c r="G157" s="39" t="str">
        <f t="shared" si="545"/>
        <v>仕事（家業・学業を含む）</v>
      </c>
      <c r="H157" s="39" t="str">
        <f t="shared" si="545"/>
        <v>趣味・レジャー</v>
      </c>
      <c r="I157" s="40" t="str">
        <f t="shared" si="545"/>
        <v>ボランティアや地域活動</v>
      </c>
      <c r="J157" s="39" t="str">
        <f t="shared" si="545"/>
        <v>家族との団らん</v>
      </c>
      <c r="K157" s="39" t="str">
        <f t="shared" si="545"/>
        <v>家族の介護</v>
      </c>
      <c r="L157" s="39" t="str">
        <f t="shared" si="545"/>
        <v>子育て・子どもの教育</v>
      </c>
      <c r="M157" s="39" t="str">
        <f t="shared" si="545"/>
        <v>衣・食生活の充実</v>
      </c>
      <c r="N157" s="40" t="str">
        <f t="shared" si="545"/>
        <v>住まいの改善・充実</v>
      </c>
      <c r="O157" s="40" t="str">
        <f t="shared" si="545"/>
        <v>老後の生活への準備</v>
      </c>
      <c r="P157" s="40" t="str">
        <f t="shared" si="545"/>
        <v>その他</v>
      </c>
      <c r="Q157" s="40" t="str">
        <f t="shared" si="545"/>
        <v>特にない</v>
      </c>
      <c r="R157" s="41"/>
      <c r="S157" s="104">
        <f>SUM(C157:R157)</f>
        <v>0</v>
      </c>
    </row>
    <row r="158" spans="1:35" ht="13.5" customHeight="1" x14ac:dyDescent="0.2">
      <c r="A158" s="291" t="str">
        <f>'問3M（表）'!A158:A159</f>
        <v>全体(n = 1,616 )　　</v>
      </c>
      <c r="B158" s="34">
        <v>1616</v>
      </c>
      <c r="C158" s="31">
        <f t="shared" ref="C158:Q158" si="546">SUM(C160,C162,C164,C166,C168,)</f>
        <v>1034</v>
      </c>
      <c r="D158" s="32">
        <f t="shared" si="546"/>
        <v>906</v>
      </c>
      <c r="E158" s="32">
        <f t="shared" si="546"/>
        <v>119</v>
      </c>
      <c r="F158" s="32">
        <f t="shared" si="546"/>
        <v>19</v>
      </c>
      <c r="G158" s="32">
        <f t="shared" si="546"/>
        <v>307</v>
      </c>
      <c r="H158" s="32">
        <f t="shared" si="546"/>
        <v>285</v>
      </c>
      <c r="I158" s="32">
        <f t="shared" si="546"/>
        <v>47</v>
      </c>
      <c r="J158" s="32">
        <f t="shared" si="546"/>
        <v>235</v>
      </c>
      <c r="K158" s="32">
        <f t="shared" si="546"/>
        <v>214</v>
      </c>
      <c r="L158" s="32">
        <f t="shared" si="546"/>
        <v>224</v>
      </c>
      <c r="M158" s="32">
        <f t="shared" si="546"/>
        <v>186</v>
      </c>
      <c r="N158" s="32">
        <f t="shared" si="546"/>
        <v>205</v>
      </c>
      <c r="O158" s="32">
        <f t="shared" si="546"/>
        <v>643</v>
      </c>
      <c r="P158" s="32">
        <f t="shared" si="546"/>
        <v>11</v>
      </c>
      <c r="Q158" s="32">
        <f t="shared" si="546"/>
        <v>21</v>
      </c>
      <c r="R158" s="33"/>
      <c r="S158" s="104">
        <f>SUM(C158:R158)</f>
        <v>4456</v>
      </c>
      <c r="T158" s="166">
        <f>B158</f>
        <v>1616</v>
      </c>
    </row>
    <row r="159" spans="1:35" x14ac:dyDescent="0.2">
      <c r="A159" s="292"/>
      <c r="B159" s="20">
        <v>100</v>
      </c>
      <c r="C159" s="20">
        <f t="shared" ref="C159" si="547">C158/$B158*100</f>
        <v>63.985148514851488</v>
      </c>
      <c r="D159" s="207">
        <f t="shared" ref="D159" si="548">D158/$B158*100</f>
        <v>56.064356435643568</v>
      </c>
      <c r="E159" s="207">
        <f t="shared" ref="E159" si="549">E158/$B158*100</f>
        <v>7.3638613861386135</v>
      </c>
      <c r="F159" s="207">
        <f t="shared" ref="F159" si="550">F158/$B158*100</f>
        <v>1.1757425742574257</v>
      </c>
      <c r="G159" s="207">
        <f t="shared" ref="G159" si="551">G158/$B158*100</f>
        <v>18.997524752475247</v>
      </c>
      <c r="H159" s="207">
        <f t="shared" ref="H159" si="552">H158/$B158*100</f>
        <v>17.636138613861384</v>
      </c>
      <c r="I159" s="207">
        <f t="shared" ref="I159" si="553">I158/$B158*100</f>
        <v>2.9084158415841586</v>
      </c>
      <c r="J159" s="207">
        <f t="shared" ref="J159" si="554">J158/$B158*100</f>
        <v>14.542079207920791</v>
      </c>
      <c r="K159" s="207">
        <f t="shared" ref="K159" si="555">K158/$B158*100</f>
        <v>13.242574257425744</v>
      </c>
      <c r="L159" s="207">
        <f t="shared" ref="L159" si="556">L158/$B158*100</f>
        <v>13.861386138613863</v>
      </c>
      <c r="M159" s="207">
        <f t="shared" ref="M159" si="557">M158/$B158*100</f>
        <v>11.509900990099011</v>
      </c>
      <c r="N159" s="207">
        <f t="shared" ref="N159" si="558">N158/$B158*100</f>
        <v>12.685643564356436</v>
      </c>
      <c r="O159" s="207">
        <f t="shared" ref="O159" si="559">O158/$B158*100</f>
        <v>39.789603960396043</v>
      </c>
      <c r="P159" s="207">
        <f t="shared" ref="P159" si="560">P158/$B158*100</f>
        <v>0.68069306930693074</v>
      </c>
      <c r="Q159" s="207">
        <f t="shared" ref="Q159" si="561">Q158/$B158*100</f>
        <v>1.2995049504950495</v>
      </c>
      <c r="R159" s="208"/>
      <c r="S159" s="104"/>
    </row>
    <row r="160" spans="1:35" ht="13.5" customHeight="1" x14ac:dyDescent="0.2">
      <c r="A160" s="293" t="str">
        <f>'問3M（表）'!A160:A161</f>
        <v>十分満足している(n = 59 )</v>
      </c>
      <c r="B160" s="34">
        <v>59</v>
      </c>
      <c r="C160" s="31">
        <v>42</v>
      </c>
      <c r="D160" s="32">
        <v>11</v>
      </c>
      <c r="E160" s="32">
        <v>14</v>
      </c>
      <c r="F160" s="32">
        <v>1</v>
      </c>
      <c r="G160" s="32">
        <v>13</v>
      </c>
      <c r="H160" s="32">
        <v>14</v>
      </c>
      <c r="I160" s="32">
        <v>11</v>
      </c>
      <c r="J160" s="32">
        <v>15</v>
      </c>
      <c r="K160" s="32">
        <v>4</v>
      </c>
      <c r="L160" s="32">
        <v>6</v>
      </c>
      <c r="M160" s="32">
        <v>7</v>
      </c>
      <c r="N160" s="32">
        <v>4</v>
      </c>
      <c r="O160" s="32">
        <v>11</v>
      </c>
      <c r="P160" s="32">
        <v>1</v>
      </c>
      <c r="Q160" s="32">
        <v>1</v>
      </c>
      <c r="R160" s="33"/>
      <c r="S160" s="104">
        <f>SUM(C160:R160)</f>
        <v>155</v>
      </c>
      <c r="T160" s="166">
        <f>B160</f>
        <v>59</v>
      </c>
      <c r="U160" s="166"/>
    </row>
    <row r="161" spans="1:21" x14ac:dyDescent="0.2">
      <c r="A161" s="294"/>
      <c r="B161" s="20">
        <f>B160/$B$158*100</f>
        <v>3.6509900990099009</v>
      </c>
      <c r="C161" s="20">
        <f t="shared" ref="C161" si="562">C160/$B160*100</f>
        <v>71.186440677966104</v>
      </c>
      <c r="D161" s="207">
        <f t="shared" ref="D161" si="563">D160/$B160*100</f>
        <v>18.64406779661017</v>
      </c>
      <c r="E161" s="207">
        <f t="shared" ref="E161" si="564">E160/$B160*100</f>
        <v>23.728813559322035</v>
      </c>
      <c r="F161" s="207">
        <f t="shared" ref="F161" si="565">F160/$B160*100</f>
        <v>1.6949152542372881</v>
      </c>
      <c r="G161" s="207">
        <f t="shared" ref="G161" si="566">G160/$B160*100</f>
        <v>22.033898305084744</v>
      </c>
      <c r="H161" s="207">
        <f t="shared" ref="H161" si="567">H160/$B160*100</f>
        <v>23.728813559322035</v>
      </c>
      <c r="I161" s="207">
        <f t="shared" ref="I161" si="568">I160/$B160*100</f>
        <v>18.64406779661017</v>
      </c>
      <c r="J161" s="207">
        <f t="shared" ref="J161" si="569">J160/$B160*100</f>
        <v>25.423728813559322</v>
      </c>
      <c r="K161" s="207">
        <f t="shared" ref="K161" si="570">K160/$B160*100</f>
        <v>6.7796610169491522</v>
      </c>
      <c r="L161" s="207">
        <f t="shared" ref="L161" si="571">L160/$B160*100</f>
        <v>10.16949152542373</v>
      </c>
      <c r="M161" s="207">
        <f t="shared" ref="M161" si="572">M160/$B160*100</f>
        <v>11.864406779661017</v>
      </c>
      <c r="N161" s="207">
        <f t="shared" ref="N161" si="573">N160/$B160*100</f>
        <v>6.7796610169491522</v>
      </c>
      <c r="O161" s="207">
        <f t="shared" ref="O161" si="574">O160/$B160*100</f>
        <v>18.64406779661017</v>
      </c>
      <c r="P161" s="207">
        <f t="shared" ref="P161" si="575">P160/$B160*100</f>
        <v>1.6949152542372881</v>
      </c>
      <c r="Q161" s="207">
        <f t="shared" ref="Q161" si="576">Q160/$B160*100</f>
        <v>1.6949152542372881</v>
      </c>
      <c r="R161" s="208"/>
      <c r="S161" s="104"/>
      <c r="U161">
        <f>SUM(T160,T162)</f>
        <v>793</v>
      </c>
    </row>
    <row r="162" spans="1:21" ht="13.5" customHeight="1" x14ac:dyDescent="0.2">
      <c r="A162" s="293" t="str">
        <f>'問3M（表）'!A162:A163</f>
        <v>おおむね満足している(n = 734 )</v>
      </c>
      <c r="B162" s="34">
        <v>734</v>
      </c>
      <c r="C162" s="31">
        <v>516</v>
      </c>
      <c r="D162" s="32">
        <v>365</v>
      </c>
      <c r="E162" s="32">
        <v>61</v>
      </c>
      <c r="F162" s="32">
        <v>6</v>
      </c>
      <c r="G162" s="32">
        <v>121</v>
      </c>
      <c r="H162" s="32">
        <v>148</v>
      </c>
      <c r="I162" s="32">
        <v>25</v>
      </c>
      <c r="J162" s="32">
        <v>119</v>
      </c>
      <c r="K162" s="32">
        <v>97</v>
      </c>
      <c r="L162" s="32">
        <v>117</v>
      </c>
      <c r="M162" s="32">
        <v>68</v>
      </c>
      <c r="N162" s="32">
        <v>86</v>
      </c>
      <c r="O162" s="32">
        <v>289</v>
      </c>
      <c r="P162" s="32">
        <v>3</v>
      </c>
      <c r="Q162" s="32">
        <v>8</v>
      </c>
      <c r="R162" s="33"/>
      <c r="S162" s="104">
        <f>SUM(C162:R162)</f>
        <v>2029</v>
      </c>
      <c r="T162" s="166">
        <f>B162</f>
        <v>734</v>
      </c>
      <c r="U162" t="str">
        <f>" 満足層（N = "&amp;S190&amp;" : n = "&amp;U161&amp;"）"</f>
        <v xml:space="preserve"> 満足層（N = 2,184 : n = 793）</v>
      </c>
    </row>
    <row r="163" spans="1:21" x14ac:dyDescent="0.2">
      <c r="A163" s="294"/>
      <c r="B163" s="20">
        <f>B162/$B$158*100</f>
        <v>45.420792079207921</v>
      </c>
      <c r="C163" s="20">
        <f t="shared" ref="C163" si="577">C162/$B162*100</f>
        <v>70.299727520435979</v>
      </c>
      <c r="D163" s="207">
        <f t="shared" ref="D163" si="578">D162/$B162*100</f>
        <v>49.727520435967307</v>
      </c>
      <c r="E163" s="207">
        <f t="shared" ref="E163" si="579">E162/$B162*100</f>
        <v>8.3106267029972756</v>
      </c>
      <c r="F163" s="207">
        <f t="shared" ref="F163" si="580">F162/$B162*100</f>
        <v>0.81743869209809261</v>
      </c>
      <c r="G163" s="207">
        <f t="shared" ref="G163" si="581">G162/$B162*100</f>
        <v>16.485013623978201</v>
      </c>
      <c r="H163" s="207">
        <f t="shared" ref="H163" si="582">H162/$B162*100</f>
        <v>20.163487738419619</v>
      </c>
      <c r="I163" s="207">
        <f t="shared" ref="I163" si="583">I162/$B162*100</f>
        <v>3.4059945504087197</v>
      </c>
      <c r="J163" s="207">
        <f t="shared" ref="J163" si="584">J162/$B162*100</f>
        <v>16.212534059945504</v>
      </c>
      <c r="K163" s="207">
        <f t="shared" ref="K163" si="585">K162/$B162*100</f>
        <v>13.215258855585832</v>
      </c>
      <c r="L163" s="207">
        <f t="shared" ref="L163" si="586">L162/$B162*100</f>
        <v>15.940054495912806</v>
      </c>
      <c r="M163" s="207">
        <f t="shared" ref="M163" si="587">M162/$B162*100</f>
        <v>9.2643051771117158</v>
      </c>
      <c r="N163" s="207">
        <f t="shared" ref="N163" si="588">N162/$B162*100</f>
        <v>11.716621253405995</v>
      </c>
      <c r="O163" s="207">
        <f t="shared" ref="O163" si="589">O162/$B162*100</f>
        <v>39.373297002724797</v>
      </c>
      <c r="P163" s="207">
        <f t="shared" ref="P163" si="590">P162/$B162*100</f>
        <v>0.40871934604904631</v>
      </c>
      <c r="Q163" s="207">
        <f t="shared" ref="Q163" si="591">Q162/$B162*100</f>
        <v>1.0899182561307901</v>
      </c>
      <c r="R163" s="208"/>
      <c r="S163" s="104"/>
    </row>
    <row r="164" spans="1:21" ht="13.5" customHeight="1" x14ac:dyDescent="0.2">
      <c r="A164" s="291" t="str">
        <f>'問3M（表）'!A164:A165</f>
        <v>まだまだ不満だ(n = 622 )</v>
      </c>
      <c r="B164" s="34">
        <v>622</v>
      </c>
      <c r="C164" s="31">
        <v>365</v>
      </c>
      <c r="D164" s="32">
        <v>419</v>
      </c>
      <c r="E164" s="32">
        <v>30</v>
      </c>
      <c r="F164" s="32">
        <v>9</v>
      </c>
      <c r="G164" s="32">
        <v>136</v>
      </c>
      <c r="H164" s="32">
        <v>106</v>
      </c>
      <c r="I164" s="32">
        <v>6</v>
      </c>
      <c r="J164" s="32">
        <v>87</v>
      </c>
      <c r="K164" s="32">
        <v>82</v>
      </c>
      <c r="L164" s="32">
        <v>85</v>
      </c>
      <c r="M164" s="32">
        <v>84</v>
      </c>
      <c r="N164" s="32">
        <v>90</v>
      </c>
      <c r="O164" s="32">
        <v>252</v>
      </c>
      <c r="P164" s="32">
        <v>3</v>
      </c>
      <c r="Q164" s="32">
        <v>5</v>
      </c>
      <c r="R164" s="33"/>
      <c r="S164" s="104">
        <f>SUM(C164:R164)</f>
        <v>1759</v>
      </c>
      <c r="T164" s="166">
        <f>B164</f>
        <v>622</v>
      </c>
      <c r="U164" s="166"/>
    </row>
    <row r="165" spans="1:21" x14ac:dyDescent="0.2">
      <c r="A165" s="292"/>
      <c r="B165" s="20">
        <f>B164/$B$158*100</f>
        <v>38.490099009900987</v>
      </c>
      <c r="C165" s="20">
        <f t="shared" ref="C165" si="592">C164/$B164*100</f>
        <v>58.681672025723472</v>
      </c>
      <c r="D165" s="207">
        <f t="shared" ref="D165" si="593">D164/$B164*100</f>
        <v>67.363344051446944</v>
      </c>
      <c r="E165" s="207">
        <f t="shared" ref="E165" si="594">E164/$B164*100</f>
        <v>4.823151125401929</v>
      </c>
      <c r="F165" s="207">
        <f t="shared" ref="F165" si="595">F164/$B164*100</f>
        <v>1.4469453376205788</v>
      </c>
      <c r="G165" s="207">
        <f t="shared" ref="G165" si="596">G164/$B164*100</f>
        <v>21.864951768488748</v>
      </c>
      <c r="H165" s="207">
        <f t="shared" ref="H165" si="597">H164/$B164*100</f>
        <v>17.041800643086816</v>
      </c>
      <c r="I165" s="207">
        <f t="shared" ref="I165" si="598">I164/$B164*100</f>
        <v>0.96463022508038598</v>
      </c>
      <c r="J165" s="207">
        <f t="shared" ref="J165" si="599">J164/$B164*100</f>
        <v>13.987138263665594</v>
      </c>
      <c r="K165" s="207">
        <f t="shared" ref="K165" si="600">K164/$B164*100</f>
        <v>13.183279742765272</v>
      </c>
      <c r="L165" s="207">
        <f t="shared" ref="L165" si="601">L164/$B164*100</f>
        <v>13.665594855305466</v>
      </c>
      <c r="M165" s="207">
        <f t="shared" ref="M165" si="602">M164/$B164*100</f>
        <v>13.504823151125404</v>
      </c>
      <c r="N165" s="207">
        <f t="shared" ref="N165" si="603">N164/$B164*100</f>
        <v>14.469453376205788</v>
      </c>
      <c r="O165" s="207">
        <f t="shared" ref="O165" si="604">O164/$B164*100</f>
        <v>40.514469453376208</v>
      </c>
      <c r="P165" s="207">
        <f t="shared" ref="P165" si="605">P164/$B164*100</f>
        <v>0.48231511254019299</v>
      </c>
      <c r="Q165" s="207">
        <f t="shared" ref="Q165" si="606">Q164/$B164*100</f>
        <v>0.8038585209003215</v>
      </c>
      <c r="R165" s="208"/>
      <c r="U165">
        <f>SUM(T164,T166)</f>
        <v>752</v>
      </c>
    </row>
    <row r="166" spans="1:21" ht="13.5" customHeight="1" x14ac:dyDescent="0.2">
      <c r="A166" s="291" t="str">
        <f>'問3M（表）'!A166:A167</f>
        <v>きわめて不満だ(n = 130 )</v>
      </c>
      <c r="B166" s="34">
        <v>130</v>
      </c>
      <c r="C166" s="31">
        <v>74</v>
      </c>
      <c r="D166" s="32">
        <v>90</v>
      </c>
      <c r="E166" s="32">
        <v>11</v>
      </c>
      <c r="F166" s="32">
        <v>3</v>
      </c>
      <c r="G166" s="32">
        <v>26</v>
      </c>
      <c r="H166" s="32">
        <v>14</v>
      </c>
      <c r="I166" s="32">
        <v>4</v>
      </c>
      <c r="J166" s="32">
        <v>8</v>
      </c>
      <c r="K166" s="32">
        <v>21</v>
      </c>
      <c r="L166" s="32">
        <v>14</v>
      </c>
      <c r="M166" s="32">
        <v>20</v>
      </c>
      <c r="N166" s="32">
        <v>18</v>
      </c>
      <c r="O166" s="32">
        <v>64</v>
      </c>
      <c r="P166" s="32">
        <v>4</v>
      </c>
      <c r="Q166" s="32">
        <v>0</v>
      </c>
      <c r="R166" s="33"/>
      <c r="S166" s="104">
        <f>SUM(C166:R166)</f>
        <v>371</v>
      </c>
      <c r="T166" s="166">
        <f>B166</f>
        <v>130</v>
      </c>
      <c r="U166" t="str">
        <f>" 不満層（N = "&amp;S192&amp;" : n = "&amp;U165&amp;"）"</f>
        <v xml:space="preserve"> 不満層（N = 2,130 : n = 752）</v>
      </c>
    </row>
    <row r="167" spans="1:21" x14ac:dyDescent="0.2">
      <c r="A167" s="292"/>
      <c r="B167" s="20">
        <f>B166/$B$158*100</f>
        <v>8.0445544554455441</v>
      </c>
      <c r="C167" s="20">
        <f t="shared" ref="C167" si="607">C166/$B166*100</f>
        <v>56.92307692307692</v>
      </c>
      <c r="D167" s="207">
        <f t="shared" ref="D167" si="608">D166/$B166*100</f>
        <v>69.230769230769226</v>
      </c>
      <c r="E167" s="207">
        <f t="shared" ref="E167" si="609">E166/$B166*100</f>
        <v>8.4615384615384617</v>
      </c>
      <c r="F167" s="207">
        <f t="shared" ref="F167" si="610">F166/$B166*100</f>
        <v>2.3076923076923079</v>
      </c>
      <c r="G167" s="207">
        <f t="shared" ref="G167" si="611">G166/$B166*100</f>
        <v>20</v>
      </c>
      <c r="H167" s="207">
        <f t="shared" ref="H167" si="612">H166/$B166*100</f>
        <v>10.76923076923077</v>
      </c>
      <c r="I167" s="207">
        <f t="shared" ref="I167" si="613">I166/$B166*100</f>
        <v>3.0769230769230771</v>
      </c>
      <c r="J167" s="207">
        <f t="shared" ref="J167" si="614">J166/$B166*100</f>
        <v>6.1538461538461542</v>
      </c>
      <c r="K167" s="207">
        <f t="shared" ref="K167" si="615">K166/$B166*100</f>
        <v>16.153846153846153</v>
      </c>
      <c r="L167" s="207">
        <f t="shared" ref="L167" si="616">L166/$B166*100</f>
        <v>10.76923076923077</v>
      </c>
      <c r="M167" s="207">
        <f t="shared" ref="M167" si="617">M166/$B166*100</f>
        <v>15.384615384615385</v>
      </c>
      <c r="N167" s="207">
        <f t="shared" ref="N167" si="618">N166/$B166*100</f>
        <v>13.846153846153847</v>
      </c>
      <c r="O167" s="207">
        <f t="shared" ref="O167" si="619">O166/$B166*100</f>
        <v>49.230769230769234</v>
      </c>
      <c r="P167" s="207">
        <f t="shared" ref="P167" si="620">P166/$B166*100</f>
        <v>3.0769230769230771</v>
      </c>
      <c r="Q167" s="207">
        <f t="shared" ref="Q167" si="621">Q166/$B166*100</f>
        <v>0</v>
      </c>
      <c r="R167" s="208"/>
    </row>
    <row r="168" spans="1:21" ht="13.5" customHeight="1" x14ac:dyDescent="0.2">
      <c r="A168" s="291" t="str">
        <f>'問3M（表）'!A168:A169</f>
        <v>わからない(n = 59 )</v>
      </c>
      <c r="B168" s="34">
        <v>59</v>
      </c>
      <c r="C168" s="31">
        <v>37</v>
      </c>
      <c r="D168" s="32">
        <v>21</v>
      </c>
      <c r="E168" s="32">
        <v>3</v>
      </c>
      <c r="F168" s="32">
        <v>0</v>
      </c>
      <c r="G168" s="32">
        <v>11</v>
      </c>
      <c r="H168" s="32">
        <v>3</v>
      </c>
      <c r="I168" s="32">
        <v>1</v>
      </c>
      <c r="J168" s="32">
        <v>6</v>
      </c>
      <c r="K168" s="32">
        <v>10</v>
      </c>
      <c r="L168" s="32">
        <v>2</v>
      </c>
      <c r="M168" s="32">
        <v>7</v>
      </c>
      <c r="N168" s="32">
        <v>7</v>
      </c>
      <c r="O168" s="32">
        <v>27</v>
      </c>
      <c r="P168" s="32">
        <v>0</v>
      </c>
      <c r="Q168" s="32">
        <v>7</v>
      </c>
      <c r="R168" s="33"/>
      <c r="S168" s="104">
        <f>SUM(C168:R168)</f>
        <v>142</v>
      </c>
      <c r="T168" s="166">
        <f>B168</f>
        <v>59</v>
      </c>
    </row>
    <row r="169" spans="1:21" x14ac:dyDescent="0.2">
      <c r="A169" s="292"/>
      <c r="B169" s="20">
        <f>B168/$B$158*100</f>
        <v>3.6509900990099009</v>
      </c>
      <c r="C169" s="20">
        <f t="shared" ref="C169" si="622">C168/$B168*100</f>
        <v>62.711864406779661</v>
      </c>
      <c r="D169" s="207">
        <f t="shared" ref="D169" si="623">D168/$B168*100</f>
        <v>35.593220338983052</v>
      </c>
      <c r="E169" s="207">
        <f t="shared" ref="E169" si="624">E168/$B168*100</f>
        <v>5.0847457627118651</v>
      </c>
      <c r="F169" s="207">
        <f t="shared" ref="F169" si="625">F168/$B168*100</f>
        <v>0</v>
      </c>
      <c r="G169" s="207">
        <f t="shared" ref="G169" si="626">G168/$B168*100</f>
        <v>18.64406779661017</v>
      </c>
      <c r="H169" s="207">
        <f t="shared" ref="H169" si="627">H168/$B168*100</f>
        <v>5.0847457627118651</v>
      </c>
      <c r="I169" s="207">
        <f t="shared" ref="I169" si="628">I168/$B168*100</f>
        <v>1.6949152542372881</v>
      </c>
      <c r="J169" s="207">
        <f t="shared" ref="J169" si="629">J168/$B168*100</f>
        <v>10.16949152542373</v>
      </c>
      <c r="K169" s="207">
        <f t="shared" ref="K169" si="630">K168/$B168*100</f>
        <v>16.949152542372879</v>
      </c>
      <c r="L169" s="207">
        <f t="shared" ref="L169" si="631">L168/$B168*100</f>
        <v>3.3898305084745761</v>
      </c>
      <c r="M169" s="207">
        <f t="shared" ref="M169" si="632">M168/$B168*100</f>
        <v>11.864406779661017</v>
      </c>
      <c r="N169" s="207">
        <f t="shared" ref="N169" si="633">N168/$B168*100</f>
        <v>11.864406779661017</v>
      </c>
      <c r="O169" s="207">
        <f t="shared" ref="O169" si="634">O168/$B168*100</f>
        <v>45.762711864406782</v>
      </c>
      <c r="P169" s="207">
        <f t="shared" ref="P169" si="635">P168/$B168*100</f>
        <v>0</v>
      </c>
      <c r="Q169" s="207">
        <f t="shared" ref="Q169" si="636">Q168/$B168*100</f>
        <v>11.864406779661017</v>
      </c>
      <c r="R169" s="208"/>
    </row>
    <row r="170" spans="1:21" s="186" customFormat="1" x14ac:dyDescent="0.2">
      <c r="A170" s="184"/>
      <c r="B170" s="182"/>
      <c r="C170" s="172">
        <f>_xlfn.RANK.EQ(C159,$C$159:$R$159,0)</f>
        <v>1</v>
      </c>
      <c r="D170" s="172">
        <f t="shared" ref="D170:R170" si="637">_xlfn.RANK.EQ(D159,$C$159:$R$159,0)</f>
        <v>2</v>
      </c>
      <c r="E170" s="172">
        <f t="shared" si="637"/>
        <v>11</v>
      </c>
      <c r="F170" s="172">
        <f t="shared" si="637"/>
        <v>14</v>
      </c>
      <c r="G170" s="172">
        <f t="shared" si="637"/>
        <v>4</v>
      </c>
      <c r="H170" s="172">
        <f t="shared" si="637"/>
        <v>5</v>
      </c>
      <c r="I170" s="172">
        <f t="shared" si="637"/>
        <v>12</v>
      </c>
      <c r="J170" s="172">
        <f t="shared" si="637"/>
        <v>6</v>
      </c>
      <c r="K170" s="172">
        <f t="shared" si="637"/>
        <v>8</v>
      </c>
      <c r="L170" s="172">
        <f t="shared" si="637"/>
        <v>7</v>
      </c>
      <c r="M170" s="172">
        <f t="shared" si="637"/>
        <v>10</v>
      </c>
      <c r="N170" s="172">
        <f t="shared" si="637"/>
        <v>9</v>
      </c>
      <c r="O170" s="172">
        <f t="shared" si="637"/>
        <v>3</v>
      </c>
      <c r="P170" s="172">
        <f t="shared" si="637"/>
        <v>15</v>
      </c>
      <c r="Q170" s="172">
        <f t="shared" si="637"/>
        <v>13</v>
      </c>
      <c r="R170" s="172" t="e">
        <f t="shared" si="637"/>
        <v>#N/A</v>
      </c>
      <c r="S170" s="185"/>
    </row>
    <row r="171" spans="1:21" x14ac:dyDescent="0.2">
      <c r="A171" s="26" t="s">
        <v>2</v>
      </c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104"/>
    </row>
    <row r="172" spans="1:21" ht="13.5" customHeight="1" x14ac:dyDescent="0.2">
      <c r="A172" s="6" t="s">
        <v>4</v>
      </c>
      <c r="B172" s="4"/>
      <c r="C172" s="27">
        <v>1</v>
      </c>
      <c r="D172" s="27">
        <v>2</v>
      </c>
      <c r="E172" s="27">
        <v>3</v>
      </c>
      <c r="F172" s="27">
        <v>4</v>
      </c>
      <c r="G172" s="27">
        <v>5</v>
      </c>
      <c r="H172" s="27">
        <v>6</v>
      </c>
      <c r="I172" s="27">
        <v>7</v>
      </c>
      <c r="J172" s="27">
        <v>8</v>
      </c>
      <c r="K172" s="27">
        <v>9</v>
      </c>
      <c r="L172" s="27">
        <v>10</v>
      </c>
      <c r="M172" s="27">
        <v>11</v>
      </c>
      <c r="N172" s="27">
        <v>12</v>
      </c>
      <c r="O172" s="27">
        <v>13</v>
      </c>
      <c r="P172" s="27">
        <v>14</v>
      </c>
      <c r="Q172" s="27">
        <v>15</v>
      </c>
      <c r="R172" s="27">
        <v>16</v>
      </c>
    </row>
    <row r="173" spans="1:21" ht="33.75" customHeight="1" x14ac:dyDescent="0.2">
      <c r="A173" s="13" t="s">
        <v>63</v>
      </c>
      <c r="B173" s="37" t="s">
        <v>157</v>
      </c>
      <c r="C173" s="38" t="s">
        <v>208</v>
      </c>
      <c r="D173" s="39" t="s">
        <v>209</v>
      </c>
      <c r="E173" s="39" t="s">
        <v>74</v>
      </c>
      <c r="F173" s="39" t="s">
        <v>210</v>
      </c>
      <c r="G173" s="39" t="s">
        <v>176</v>
      </c>
      <c r="H173" s="39" t="s">
        <v>70</v>
      </c>
      <c r="I173" s="40" t="s">
        <v>52</v>
      </c>
      <c r="J173" s="39" t="s">
        <v>71</v>
      </c>
      <c r="K173" s="39" t="s">
        <v>211</v>
      </c>
      <c r="L173" s="39" t="s">
        <v>73</v>
      </c>
      <c r="M173" s="39" t="s">
        <v>212</v>
      </c>
      <c r="N173" s="40" t="s">
        <v>213</v>
      </c>
      <c r="O173" s="40" t="s">
        <v>214</v>
      </c>
      <c r="P173" s="40" t="s">
        <v>57</v>
      </c>
      <c r="Q173" s="40" t="s">
        <v>75</v>
      </c>
      <c r="R173" s="41"/>
      <c r="S173" s="104"/>
    </row>
    <row r="174" spans="1:21" ht="13.5" customHeight="1" x14ac:dyDescent="0.2">
      <c r="A174" s="291" t="str">
        <f>A158</f>
        <v>全体(n = 1,616 )　　</v>
      </c>
      <c r="B174" s="113">
        <f>B158</f>
        <v>1616</v>
      </c>
      <c r="C174" s="121">
        <v>1034</v>
      </c>
      <c r="D174" s="122">
        <v>906</v>
      </c>
      <c r="E174" s="122">
        <v>643</v>
      </c>
      <c r="F174" s="122">
        <v>307</v>
      </c>
      <c r="G174" s="122">
        <v>285</v>
      </c>
      <c r="H174" s="122">
        <v>235</v>
      </c>
      <c r="I174" s="123">
        <v>224</v>
      </c>
      <c r="J174" s="122">
        <v>214</v>
      </c>
      <c r="K174" s="122">
        <v>205</v>
      </c>
      <c r="L174" s="122">
        <v>186</v>
      </c>
      <c r="M174" s="122">
        <v>119</v>
      </c>
      <c r="N174" s="123">
        <v>47</v>
      </c>
      <c r="O174" s="123">
        <v>19</v>
      </c>
      <c r="P174" s="123">
        <v>11</v>
      </c>
      <c r="Q174" s="123">
        <v>21</v>
      </c>
      <c r="R174" s="124"/>
    </row>
    <row r="175" spans="1:21" x14ac:dyDescent="0.2">
      <c r="A175" s="292"/>
      <c r="B175" s="114">
        <f t="shared" ref="B175:B185" si="638">B159</f>
        <v>100</v>
      </c>
      <c r="C175" s="125">
        <v>63.985148514851488</v>
      </c>
      <c r="D175" s="126">
        <v>56.064356435643568</v>
      </c>
      <c r="E175" s="126">
        <v>39.789603960396043</v>
      </c>
      <c r="F175" s="126">
        <v>18.997524752475247</v>
      </c>
      <c r="G175" s="126">
        <v>17.636138613861384</v>
      </c>
      <c r="H175" s="126">
        <v>14.542079207920791</v>
      </c>
      <c r="I175" s="127">
        <v>13.861386138613863</v>
      </c>
      <c r="J175" s="126">
        <v>13.242574257425744</v>
      </c>
      <c r="K175" s="126">
        <v>12.685643564356436</v>
      </c>
      <c r="L175" s="126">
        <v>11.509900990099011</v>
      </c>
      <c r="M175" s="126">
        <v>7.3638613861386135</v>
      </c>
      <c r="N175" s="127">
        <v>2.9084158415841586</v>
      </c>
      <c r="O175" s="127">
        <v>1.1757425742574257</v>
      </c>
      <c r="P175" s="127">
        <v>0.68069306930693074</v>
      </c>
      <c r="Q175" s="127">
        <v>1.2995049504950495</v>
      </c>
      <c r="R175" s="128"/>
      <c r="S175" s="104"/>
    </row>
    <row r="176" spans="1:21" ht="13.5" customHeight="1" x14ac:dyDescent="0.2">
      <c r="A176" s="293" t="str">
        <f>A160</f>
        <v>十分満足している(n = 59 )</v>
      </c>
      <c r="B176" s="113">
        <f t="shared" si="638"/>
        <v>59</v>
      </c>
      <c r="C176" s="129">
        <v>42</v>
      </c>
      <c r="D176" s="130">
        <v>11</v>
      </c>
      <c r="E176" s="130">
        <v>11</v>
      </c>
      <c r="F176" s="130">
        <v>13</v>
      </c>
      <c r="G176" s="130">
        <v>14</v>
      </c>
      <c r="H176" s="130">
        <v>15</v>
      </c>
      <c r="I176" s="140">
        <v>6</v>
      </c>
      <c r="J176" s="130">
        <v>4</v>
      </c>
      <c r="K176" s="130">
        <v>4</v>
      </c>
      <c r="L176" s="130">
        <v>7</v>
      </c>
      <c r="M176" s="130">
        <v>14</v>
      </c>
      <c r="N176" s="130">
        <v>11</v>
      </c>
      <c r="O176" s="140">
        <v>1</v>
      </c>
      <c r="P176" s="140">
        <v>1</v>
      </c>
      <c r="Q176" s="140">
        <v>1</v>
      </c>
      <c r="R176" s="131"/>
    </row>
    <row r="177" spans="1:35" x14ac:dyDescent="0.2">
      <c r="A177" s="294"/>
      <c r="B177" s="114">
        <f t="shared" si="638"/>
        <v>3.6509900990099009</v>
      </c>
      <c r="C177" s="125">
        <v>71.186440677966104</v>
      </c>
      <c r="D177" s="126">
        <v>18.64406779661017</v>
      </c>
      <c r="E177" s="126">
        <v>18.64406779661017</v>
      </c>
      <c r="F177" s="126">
        <v>22.033898305084744</v>
      </c>
      <c r="G177" s="126">
        <v>23.728813559322035</v>
      </c>
      <c r="H177" s="126">
        <v>25.423728813559322</v>
      </c>
      <c r="I177" s="127">
        <v>10.16949152542373</v>
      </c>
      <c r="J177" s="126">
        <v>6.7796610169491522</v>
      </c>
      <c r="K177" s="126">
        <v>6.7796610169491522</v>
      </c>
      <c r="L177" s="126">
        <v>11.864406779661017</v>
      </c>
      <c r="M177" s="126">
        <v>23.728813559322035</v>
      </c>
      <c r="N177" s="126">
        <v>18.64406779661017</v>
      </c>
      <c r="O177" s="127">
        <v>1.6949152542372881</v>
      </c>
      <c r="P177" s="127">
        <v>1.6949152542372881</v>
      </c>
      <c r="Q177" s="127">
        <v>1.6949152542372881</v>
      </c>
      <c r="R177" s="128"/>
      <c r="S177" s="104"/>
    </row>
    <row r="178" spans="1:35" ht="13.5" customHeight="1" x14ac:dyDescent="0.2">
      <c r="A178" s="293" t="str">
        <f>A162</f>
        <v>おおむね満足している(n = 734 )</v>
      </c>
      <c r="B178" s="113">
        <f t="shared" si="638"/>
        <v>734</v>
      </c>
      <c r="C178" s="129">
        <v>516</v>
      </c>
      <c r="D178" s="130">
        <v>365</v>
      </c>
      <c r="E178" s="130">
        <v>289</v>
      </c>
      <c r="F178" s="130">
        <v>121</v>
      </c>
      <c r="G178" s="130">
        <v>148</v>
      </c>
      <c r="H178" s="130">
        <v>119</v>
      </c>
      <c r="I178" s="140">
        <v>117</v>
      </c>
      <c r="J178" s="130">
        <v>97</v>
      </c>
      <c r="K178" s="130">
        <v>86</v>
      </c>
      <c r="L178" s="130">
        <v>68</v>
      </c>
      <c r="M178" s="130">
        <v>61</v>
      </c>
      <c r="N178" s="130">
        <v>25</v>
      </c>
      <c r="O178" s="140">
        <v>6</v>
      </c>
      <c r="P178" s="140">
        <v>3</v>
      </c>
      <c r="Q178" s="140">
        <v>8</v>
      </c>
      <c r="R178" s="131"/>
    </row>
    <row r="179" spans="1:35" x14ac:dyDescent="0.2">
      <c r="A179" s="294"/>
      <c r="B179" s="114">
        <f t="shared" si="638"/>
        <v>45.420792079207921</v>
      </c>
      <c r="C179" s="125">
        <v>70.299727520435979</v>
      </c>
      <c r="D179" s="126">
        <v>49.727520435967307</v>
      </c>
      <c r="E179" s="126">
        <v>39.373297002724797</v>
      </c>
      <c r="F179" s="126">
        <v>16.485013623978201</v>
      </c>
      <c r="G179" s="126">
        <v>20.163487738419619</v>
      </c>
      <c r="H179" s="126">
        <v>16.212534059945504</v>
      </c>
      <c r="I179" s="127">
        <v>15.940054495912806</v>
      </c>
      <c r="J179" s="126">
        <v>13.215258855585832</v>
      </c>
      <c r="K179" s="126">
        <v>11.716621253405995</v>
      </c>
      <c r="L179" s="126">
        <v>9.2643051771117158</v>
      </c>
      <c r="M179" s="126">
        <v>8.3106267029972756</v>
      </c>
      <c r="N179" s="126">
        <v>3.4059945504087197</v>
      </c>
      <c r="O179" s="127">
        <v>0.81743869209809261</v>
      </c>
      <c r="P179" s="127">
        <v>0.40871934604904631</v>
      </c>
      <c r="Q179" s="127">
        <v>1.0899182561307901</v>
      </c>
      <c r="R179" s="128"/>
    </row>
    <row r="180" spans="1:35" ht="13.5" customHeight="1" x14ac:dyDescent="0.2">
      <c r="A180" s="291" t="str">
        <f>A164</f>
        <v>まだまだ不満だ(n = 622 )</v>
      </c>
      <c r="B180" s="113">
        <f t="shared" si="638"/>
        <v>622</v>
      </c>
      <c r="C180" s="129">
        <v>365</v>
      </c>
      <c r="D180" s="130">
        <v>419</v>
      </c>
      <c r="E180" s="130">
        <v>252</v>
      </c>
      <c r="F180" s="130">
        <v>136</v>
      </c>
      <c r="G180" s="130">
        <v>106</v>
      </c>
      <c r="H180" s="130">
        <v>87</v>
      </c>
      <c r="I180" s="140">
        <v>85</v>
      </c>
      <c r="J180" s="130">
        <v>82</v>
      </c>
      <c r="K180" s="130">
        <v>90</v>
      </c>
      <c r="L180" s="130">
        <v>84</v>
      </c>
      <c r="M180" s="130">
        <v>30</v>
      </c>
      <c r="N180" s="130">
        <v>6</v>
      </c>
      <c r="O180" s="140">
        <v>9</v>
      </c>
      <c r="P180" s="140">
        <v>3</v>
      </c>
      <c r="Q180" s="140">
        <v>5</v>
      </c>
      <c r="R180" s="131"/>
    </row>
    <row r="181" spans="1:35" x14ac:dyDescent="0.2">
      <c r="A181" s="292"/>
      <c r="B181" s="114">
        <f t="shared" si="638"/>
        <v>38.490099009900987</v>
      </c>
      <c r="C181" s="125">
        <v>58.681672025723472</v>
      </c>
      <c r="D181" s="126">
        <v>67.363344051446944</v>
      </c>
      <c r="E181" s="126">
        <v>40.514469453376208</v>
      </c>
      <c r="F181" s="126">
        <v>21.864951768488748</v>
      </c>
      <c r="G181" s="126">
        <v>17.041800643086816</v>
      </c>
      <c r="H181" s="126">
        <v>13.987138263665594</v>
      </c>
      <c r="I181" s="127">
        <v>13.665594855305466</v>
      </c>
      <c r="J181" s="126">
        <v>13.183279742765272</v>
      </c>
      <c r="K181" s="126">
        <v>14.469453376205788</v>
      </c>
      <c r="L181" s="126">
        <v>13.504823151125404</v>
      </c>
      <c r="M181" s="126">
        <v>4.823151125401929</v>
      </c>
      <c r="N181" s="126">
        <v>0.96463022508038598</v>
      </c>
      <c r="O181" s="127">
        <v>1.4469453376205788</v>
      </c>
      <c r="P181" s="127">
        <v>0.48231511254019299</v>
      </c>
      <c r="Q181" s="127">
        <v>0.8038585209003215</v>
      </c>
      <c r="R181" s="128"/>
    </row>
    <row r="182" spans="1:35" ht="13.5" customHeight="1" x14ac:dyDescent="0.2">
      <c r="A182" s="291" t="str">
        <f>A166</f>
        <v>きわめて不満だ(n = 130 )</v>
      </c>
      <c r="B182" s="113">
        <f t="shared" si="638"/>
        <v>130</v>
      </c>
      <c r="C182" s="129">
        <v>74</v>
      </c>
      <c r="D182" s="130">
        <v>90</v>
      </c>
      <c r="E182" s="130">
        <v>64</v>
      </c>
      <c r="F182" s="130">
        <v>26</v>
      </c>
      <c r="G182" s="130">
        <v>14</v>
      </c>
      <c r="H182" s="130">
        <v>8</v>
      </c>
      <c r="I182" s="140">
        <v>14</v>
      </c>
      <c r="J182" s="130">
        <v>21</v>
      </c>
      <c r="K182" s="130">
        <v>18</v>
      </c>
      <c r="L182" s="130">
        <v>20</v>
      </c>
      <c r="M182" s="130">
        <v>11</v>
      </c>
      <c r="N182" s="130">
        <v>4</v>
      </c>
      <c r="O182" s="140">
        <v>3</v>
      </c>
      <c r="P182" s="140">
        <v>4</v>
      </c>
      <c r="Q182" s="140">
        <v>0</v>
      </c>
      <c r="R182" s="131"/>
    </row>
    <row r="183" spans="1:35" x14ac:dyDescent="0.2">
      <c r="A183" s="292"/>
      <c r="B183" s="114">
        <f t="shared" si="638"/>
        <v>8.0445544554455441</v>
      </c>
      <c r="C183" s="125">
        <v>56.92307692307692</v>
      </c>
      <c r="D183" s="126">
        <v>69.230769230769226</v>
      </c>
      <c r="E183" s="126">
        <v>49.230769230769234</v>
      </c>
      <c r="F183" s="126">
        <v>20</v>
      </c>
      <c r="G183" s="126">
        <v>10.76923076923077</v>
      </c>
      <c r="H183" s="126">
        <v>6.1538461538461542</v>
      </c>
      <c r="I183" s="127">
        <v>10.76923076923077</v>
      </c>
      <c r="J183" s="126">
        <v>16.153846153846153</v>
      </c>
      <c r="K183" s="126">
        <v>13.846153846153847</v>
      </c>
      <c r="L183" s="126">
        <v>15.384615384615385</v>
      </c>
      <c r="M183" s="126">
        <v>8.4615384615384617</v>
      </c>
      <c r="N183" s="126">
        <v>3.0769230769230771</v>
      </c>
      <c r="O183" s="127">
        <v>2.3076923076923079</v>
      </c>
      <c r="P183" s="127">
        <v>3.0769230769230771</v>
      </c>
      <c r="Q183" s="127">
        <v>0</v>
      </c>
      <c r="R183" s="128"/>
    </row>
    <row r="184" spans="1:35" x14ac:dyDescent="0.2">
      <c r="A184" s="291" t="str">
        <f>A168</f>
        <v>わからない(n = 59 )</v>
      </c>
      <c r="B184" s="113">
        <f t="shared" si="638"/>
        <v>59</v>
      </c>
      <c r="C184" s="129">
        <v>37</v>
      </c>
      <c r="D184" s="130">
        <v>21</v>
      </c>
      <c r="E184" s="130">
        <v>27</v>
      </c>
      <c r="F184" s="130">
        <v>11</v>
      </c>
      <c r="G184" s="130">
        <v>3</v>
      </c>
      <c r="H184" s="130">
        <v>6</v>
      </c>
      <c r="I184" s="140">
        <v>2</v>
      </c>
      <c r="J184" s="130">
        <v>10</v>
      </c>
      <c r="K184" s="130">
        <v>7</v>
      </c>
      <c r="L184" s="130">
        <v>7</v>
      </c>
      <c r="M184" s="130">
        <v>3</v>
      </c>
      <c r="N184" s="130">
        <v>1</v>
      </c>
      <c r="O184" s="140">
        <v>0</v>
      </c>
      <c r="P184" s="140">
        <v>0</v>
      </c>
      <c r="Q184" s="140">
        <v>7</v>
      </c>
      <c r="R184" s="131"/>
    </row>
    <row r="185" spans="1:35" x14ac:dyDescent="0.2">
      <c r="A185" s="292"/>
      <c r="B185" s="114">
        <f t="shared" si="638"/>
        <v>3.6509900990099009</v>
      </c>
      <c r="C185" s="125">
        <v>62.711864406779661</v>
      </c>
      <c r="D185" s="126">
        <v>35.593220338983052</v>
      </c>
      <c r="E185" s="126">
        <v>45.762711864406782</v>
      </c>
      <c r="F185" s="126">
        <v>18.64406779661017</v>
      </c>
      <c r="G185" s="126">
        <v>5.0847457627118651</v>
      </c>
      <c r="H185" s="126">
        <v>10.16949152542373</v>
      </c>
      <c r="I185" s="127">
        <v>3.3898305084745761</v>
      </c>
      <c r="J185" s="126">
        <v>16.949152542372879</v>
      </c>
      <c r="K185" s="126">
        <v>11.864406779661017</v>
      </c>
      <c r="L185" s="126">
        <v>11.864406779661017</v>
      </c>
      <c r="M185" s="126">
        <v>5.0847457627118651</v>
      </c>
      <c r="N185" s="126">
        <v>1.6949152542372881</v>
      </c>
      <c r="O185" s="127">
        <v>0</v>
      </c>
      <c r="P185" s="127">
        <v>0</v>
      </c>
      <c r="Q185" s="127">
        <v>11.864406779661017</v>
      </c>
      <c r="R185" s="128"/>
    </row>
    <row r="187" spans="1:35" ht="13.5" customHeight="1" x14ac:dyDescent="0.2">
      <c r="A187" s="48" t="s">
        <v>109</v>
      </c>
      <c r="B187" s="1" t="str">
        <f>B156</f>
        <v>今後のくらしの中で重視していきたいこと</v>
      </c>
      <c r="C187" s="8"/>
      <c r="D187" s="5"/>
      <c r="E187" s="5" t="s">
        <v>1</v>
      </c>
      <c r="F187" s="9"/>
      <c r="G187" s="8"/>
      <c r="H187" s="9"/>
      <c r="I187" s="8"/>
      <c r="J187" s="8"/>
      <c r="K187" s="8"/>
      <c r="L187" s="8"/>
      <c r="M187" s="8"/>
      <c r="N187" s="8"/>
      <c r="O187" s="8"/>
      <c r="P187" s="8"/>
      <c r="Q187" s="8"/>
      <c r="R187" s="8"/>
      <c r="T187" s="45"/>
      <c r="U187" s="27">
        <v>1</v>
      </c>
      <c r="V187" s="27">
        <v>2</v>
      </c>
      <c r="W187" s="27">
        <v>3</v>
      </c>
      <c r="X187" s="27">
        <v>4</v>
      </c>
      <c r="Y187" s="27">
        <v>5</v>
      </c>
      <c r="Z187" s="27">
        <v>6</v>
      </c>
      <c r="AA187" s="27">
        <v>7</v>
      </c>
      <c r="AB187" s="27">
        <v>8</v>
      </c>
      <c r="AC187" s="27">
        <v>9</v>
      </c>
      <c r="AD187" s="27">
        <v>10</v>
      </c>
      <c r="AE187" s="27">
        <v>11</v>
      </c>
      <c r="AF187" s="27">
        <v>12</v>
      </c>
      <c r="AG187" s="27">
        <v>13</v>
      </c>
      <c r="AH187" s="27">
        <v>14</v>
      </c>
      <c r="AI187" s="27">
        <v>15</v>
      </c>
    </row>
    <row r="188" spans="1:35" ht="33.75" customHeight="1" x14ac:dyDescent="0.2">
      <c r="A188" s="13" t="str">
        <f>A173</f>
        <v>【くらしの満足度別】</v>
      </c>
      <c r="B188" s="59" t="str">
        <f>B173</f>
        <v>調査数</v>
      </c>
      <c r="C188" s="60" t="str">
        <f t="shared" ref="C188:P188" si="639">C173</f>
        <v>健康・体力づくり</v>
      </c>
      <c r="D188" s="61" t="str">
        <f t="shared" si="639"/>
        <v>家計の安定・充実</v>
      </c>
      <c r="E188" s="61" t="str">
        <f t="shared" si="639"/>
        <v>老後の生活への準備</v>
      </c>
      <c r="F188" s="61" t="str">
        <f t="shared" si="639"/>
        <v>仕事（家業・学業を含む）</v>
      </c>
      <c r="G188" s="61" t="str">
        <f t="shared" si="639"/>
        <v>趣味・レジャー</v>
      </c>
      <c r="H188" s="61" t="str">
        <f t="shared" si="639"/>
        <v>家族との団らん</v>
      </c>
      <c r="I188" s="61" t="str">
        <f t="shared" si="639"/>
        <v>子育て・子どもの教育</v>
      </c>
      <c r="J188" s="61" t="str">
        <f t="shared" si="639"/>
        <v>家族の介護</v>
      </c>
      <c r="K188" s="61" t="str">
        <f t="shared" si="639"/>
        <v>住まいの改善・充実</v>
      </c>
      <c r="L188" s="61" t="str">
        <f t="shared" si="639"/>
        <v>衣・食生活の充実</v>
      </c>
      <c r="M188" s="61" t="str">
        <f t="shared" si="639"/>
        <v>知識や教養の向上</v>
      </c>
      <c r="N188" s="62" t="str">
        <f t="shared" si="639"/>
        <v>ボランティアや地域活動</v>
      </c>
      <c r="O188" s="62" t="str">
        <f t="shared" si="639"/>
        <v>社会的地位の向上</v>
      </c>
      <c r="P188" s="62" t="str">
        <f t="shared" si="639"/>
        <v>その他</v>
      </c>
      <c r="Q188" s="62" t="str">
        <f t="shared" ref="Q188" si="640">Q173</f>
        <v>特にない</v>
      </c>
      <c r="R188" s="63"/>
      <c r="S188" s="44" t="s">
        <v>32</v>
      </c>
      <c r="T188" s="12" t="str">
        <f>A188</f>
        <v>【くらしの満足度別】</v>
      </c>
      <c r="U188" s="60" t="str">
        <f>C188</f>
        <v>健康・体力づくり</v>
      </c>
      <c r="V188" s="61" t="str">
        <f t="shared" ref="V188" si="641">D188</f>
        <v>家計の安定・充実</v>
      </c>
      <c r="W188" s="61" t="str">
        <f t="shared" ref="W188" si="642">E188</f>
        <v>老後の生活への準備</v>
      </c>
      <c r="X188" s="61" t="str">
        <f t="shared" ref="X188" si="643">F188</f>
        <v>仕事（家業・学業を含む）</v>
      </c>
      <c r="Y188" s="61" t="str">
        <f t="shared" ref="Y188" si="644">G188</f>
        <v>趣味・レジャー</v>
      </c>
      <c r="Z188" s="61" t="str">
        <f t="shared" ref="Z188" si="645">H188</f>
        <v>家族との団らん</v>
      </c>
      <c r="AA188" s="61" t="str">
        <f t="shared" ref="AA188" si="646">I188</f>
        <v>子育て・子どもの教育</v>
      </c>
      <c r="AB188" s="61" t="str">
        <f t="shared" ref="AB188" si="647">J188</f>
        <v>家族の介護</v>
      </c>
      <c r="AC188" s="61" t="str">
        <f t="shared" ref="AC188" si="648">K188</f>
        <v>住まいの改善・充実</v>
      </c>
      <c r="AD188" s="61" t="str">
        <f t="shared" ref="AD188" si="649">L188</f>
        <v>衣・食生活の充実</v>
      </c>
      <c r="AE188" s="61" t="str">
        <f t="shared" ref="AE188" si="650">M188</f>
        <v>知識や教養の向上</v>
      </c>
      <c r="AF188" s="62" t="str">
        <f t="shared" ref="AF188" si="651">N188</f>
        <v>ボランティアや地域活動</v>
      </c>
      <c r="AG188" s="62" t="str">
        <f t="shared" ref="AG188" si="652">O188</f>
        <v>社会的地位の向上</v>
      </c>
      <c r="AH188" s="62" t="str">
        <f>P188</f>
        <v>その他</v>
      </c>
      <c r="AI188" s="63" t="str">
        <f t="shared" ref="AI188" si="653">Q188</f>
        <v>特にない</v>
      </c>
    </row>
    <row r="189" spans="1:35" x14ac:dyDescent="0.2">
      <c r="A189" s="112" t="str">
        <f>'問3M（表）'!A189</f>
        <v>満足層</v>
      </c>
      <c r="B189" s="143">
        <f>B176+B178</f>
        <v>793</v>
      </c>
      <c r="C189" s="144">
        <f>C176+C178</f>
        <v>558</v>
      </c>
      <c r="D189" s="145">
        <f t="shared" ref="D189:Q189" si="654">D176+D178</f>
        <v>376</v>
      </c>
      <c r="E189" s="145">
        <f t="shared" si="654"/>
        <v>300</v>
      </c>
      <c r="F189" s="145">
        <f t="shared" si="654"/>
        <v>134</v>
      </c>
      <c r="G189" s="145">
        <f t="shared" si="654"/>
        <v>162</v>
      </c>
      <c r="H189" s="145">
        <f t="shared" si="654"/>
        <v>134</v>
      </c>
      <c r="I189" s="145">
        <f t="shared" si="654"/>
        <v>123</v>
      </c>
      <c r="J189" s="145">
        <f t="shared" si="654"/>
        <v>101</v>
      </c>
      <c r="K189" s="145">
        <f t="shared" si="654"/>
        <v>90</v>
      </c>
      <c r="L189" s="145">
        <f t="shared" si="654"/>
        <v>75</v>
      </c>
      <c r="M189" s="145">
        <f t="shared" si="654"/>
        <v>75</v>
      </c>
      <c r="N189" s="145">
        <f t="shared" si="654"/>
        <v>36</v>
      </c>
      <c r="O189" s="146">
        <f t="shared" si="654"/>
        <v>7</v>
      </c>
      <c r="P189" s="146">
        <f t="shared" si="654"/>
        <v>4</v>
      </c>
      <c r="Q189" s="146">
        <f t="shared" si="654"/>
        <v>9</v>
      </c>
      <c r="R189" s="147"/>
      <c r="S189" s="104">
        <f>SUM($C189:R189)</f>
        <v>2184</v>
      </c>
      <c r="T189" s="93" t="str">
        <f>A189</f>
        <v>満足層</v>
      </c>
      <c r="U189" s="84">
        <f>C190</f>
        <v>70.365699873896588</v>
      </c>
      <c r="V189" s="85">
        <f t="shared" ref="V189:AI189" si="655">D190</f>
        <v>47.414880201765449</v>
      </c>
      <c r="W189" s="85">
        <f t="shared" si="655"/>
        <v>37.831021437578812</v>
      </c>
      <c r="X189" s="85">
        <f t="shared" si="655"/>
        <v>16.897856242118536</v>
      </c>
      <c r="Y189" s="85">
        <f t="shared" si="655"/>
        <v>20.428751576292559</v>
      </c>
      <c r="Z189" s="85">
        <f t="shared" si="655"/>
        <v>16.897856242118536</v>
      </c>
      <c r="AA189" s="85">
        <f t="shared" si="655"/>
        <v>15.510718789407314</v>
      </c>
      <c r="AB189" s="85">
        <f t="shared" si="655"/>
        <v>12.736443883984869</v>
      </c>
      <c r="AC189" s="85">
        <f t="shared" si="655"/>
        <v>11.349306431273645</v>
      </c>
      <c r="AD189" s="85">
        <f t="shared" si="655"/>
        <v>9.457755359394703</v>
      </c>
      <c r="AE189" s="85">
        <f t="shared" si="655"/>
        <v>9.457755359394703</v>
      </c>
      <c r="AF189" s="86">
        <f t="shared" si="655"/>
        <v>4.5397225725094579</v>
      </c>
      <c r="AG189" s="86">
        <f t="shared" si="655"/>
        <v>0.88272383354350581</v>
      </c>
      <c r="AH189" s="86">
        <f t="shared" si="655"/>
        <v>0.50441361916771754</v>
      </c>
      <c r="AI189" s="87">
        <f t="shared" si="655"/>
        <v>1.1349306431273645</v>
      </c>
    </row>
    <row r="190" spans="1:35" x14ac:dyDescent="0.2">
      <c r="A190" s="155" t="str">
        <f>'問3M（表）'!A190</f>
        <v>n = 793</v>
      </c>
      <c r="B190" s="148" t="s">
        <v>172</v>
      </c>
      <c r="C190" s="149">
        <f>C189/$B$189*100</f>
        <v>70.365699873896588</v>
      </c>
      <c r="D190" s="150">
        <f t="shared" ref="D190:Q190" si="656">D189/$B$189*100</f>
        <v>47.414880201765449</v>
      </c>
      <c r="E190" s="150">
        <f t="shared" si="656"/>
        <v>37.831021437578812</v>
      </c>
      <c r="F190" s="150">
        <f t="shared" si="656"/>
        <v>16.897856242118536</v>
      </c>
      <c r="G190" s="150">
        <f t="shared" si="656"/>
        <v>20.428751576292559</v>
      </c>
      <c r="H190" s="150">
        <f t="shared" si="656"/>
        <v>16.897856242118536</v>
      </c>
      <c r="I190" s="150">
        <f t="shared" si="656"/>
        <v>15.510718789407314</v>
      </c>
      <c r="J190" s="150">
        <f t="shared" si="656"/>
        <v>12.736443883984869</v>
      </c>
      <c r="K190" s="150">
        <f t="shared" si="656"/>
        <v>11.349306431273645</v>
      </c>
      <c r="L190" s="150">
        <f t="shared" si="656"/>
        <v>9.457755359394703</v>
      </c>
      <c r="M190" s="150">
        <f t="shared" si="656"/>
        <v>9.457755359394703</v>
      </c>
      <c r="N190" s="150">
        <f t="shared" si="656"/>
        <v>4.5397225725094579</v>
      </c>
      <c r="O190" s="151">
        <f t="shared" si="656"/>
        <v>0.88272383354350581</v>
      </c>
      <c r="P190" s="151">
        <f t="shared" si="656"/>
        <v>0.50441361916771754</v>
      </c>
      <c r="Q190" s="151">
        <f t="shared" si="656"/>
        <v>1.1349306431273645</v>
      </c>
      <c r="R190" s="152"/>
      <c r="S190" s="204" t="s">
        <v>264</v>
      </c>
      <c r="T190" s="94" t="str">
        <f>A191</f>
        <v>不満層</v>
      </c>
      <c r="U190" s="78">
        <f>C192</f>
        <v>58.37765957446809</v>
      </c>
      <c r="V190" s="79">
        <f t="shared" ref="V190:AI190" si="657">D192</f>
        <v>67.686170212765958</v>
      </c>
      <c r="W190" s="79">
        <f t="shared" si="657"/>
        <v>42.021276595744681</v>
      </c>
      <c r="X190" s="79">
        <f t="shared" si="657"/>
        <v>21.542553191489361</v>
      </c>
      <c r="Y190" s="79">
        <f t="shared" si="657"/>
        <v>15.957446808510639</v>
      </c>
      <c r="Z190" s="79">
        <f t="shared" si="657"/>
        <v>12.632978723404257</v>
      </c>
      <c r="AA190" s="79">
        <f t="shared" si="657"/>
        <v>13.164893617021276</v>
      </c>
      <c r="AB190" s="79">
        <f t="shared" si="657"/>
        <v>13.696808510638297</v>
      </c>
      <c r="AC190" s="79">
        <f t="shared" si="657"/>
        <v>14.361702127659576</v>
      </c>
      <c r="AD190" s="79">
        <f t="shared" si="657"/>
        <v>13.829787234042554</v>
      </c>
      <c r="AE190" s="79">
        <f t="shared" si="657"/>
        <v>5.4521276595744688</v>
      </c>
      <c r="AF190" s="80">
        <f t="shared" si="657"/>
        <v>1.3297872340425532</v>
      </c>
      <c r="AG190" s="80">
        <f t="shared" si="657"/>
        <v>1.5957446808510638</v>
      </c>
      <c r="AH190" s="80">
        <f t="shared" si="657"/>
        <v>0.93085106382978722</v>
      </c>
      <c r="AI190" s="81">
        <f t="shared" si="657"/>
        <v>0.66489361702127658</v>
      </c>
    </row>
    <row r="191" spans="1:35" x14ac:dyDescent="0.2">
      <c r="A191" s="112" t="str">
        <f>'問3M（表）'!A191</f>
        <v>不満層</v>
      </c>
      <c r="B191" s="153">
        <f>B180+B182</f>
        <v>752</v>
      </c>
      <c r="C191" s="129">
        <f>C180+C182</f>
        <v>439</v>
      </c>
      <c r="D191" s="130">
        <f t="shared" ref="D191:Q191" si="658">D180+D182</f>
        <v>509</v>
      </c>
      <c r="E191" s="130">
        <f t="shared" si="658"/>
        <v>316</v>
      </c>
      <c r="F191" s="130">
        <f t="shared" si="658"/>
        <v>162</v>
      </c>
      <c r="G191" s="130">
        <f t="shared" si="658"/>
        <v>120</v>
      </c>
      <c r="H191" s="130">
        <f t="shared" si="658"/>
        <v>95</v>
      </c>
      <c r="I191" s="130">
        <f t="shared" si="658"/>
        <v>99</v>
      </c>
      <c r="J191" s="130">
        <f t="shared" si="658"/>
        <v>103</v>
      </c>
      <c r="K191" s="130">
        <f t="shared" si="658"/>
        <v>108</v>
      </c>
      <c r="L191" s="130">
        <f t="shared" si="658"/>
        <v>104</v>
      </c>
      <c r="M191" s="130">
        <f t="shared" si="658"/>
        <v>41</v>
      </c>
      <c r="N191" s="130">
        <f t="shared" si="658"/>
        <v>10</v>
      </c>
      <c r="O191" s="140">
        <f t="shared" si="658"/>
        <v>12</v>
      </c>
      <c r="P191" s="140">
        <f t="shared" si="658"/>
        <v>7</v>
      </c>
      <c r="Q191" s="140">
        <f t="shared" si="658"/>
        <v>5</v>
      </c>
      <c r="R191" s="131"/>
      <c r="S191" s="104">
        <f>SUM($C191:R191)</f>
        <v>2130</v>
      </c>
    </row>
    <row r="192" spans="1:35" x14ac:dyDescent="0.2">
      <c r="A192" s="155" t="str">
        <f>'問3M（表）'!A192</f>
        <v>n = 752</v>
      </c>
      <c r="B192" s="148" t="s">
        <v>172</v>
      </c>
      <c r="C192" s="149">
        <f>C191/$B$191*100</f>
        <v>58.37765957446809</v>
      </c>
      <c r="D192" s="150">
        <f t="shared" ref="D192:Q192" si="659">D191/$B$191*100</f>
        <v>67.686170212765958</v>
      </c>
      <c r="E192" s="150">
        <f t="shared" si="659"/>
        <v>42.021276595744681</v>
      </c>
      <c r="F192" s="150">
        <f t="shared" si="659"/>
        <v>21.542553191489361</v>
      </c>
      <c r="G192" s="150">
        <f t="shared" si="659"/>
        <v>15.957446808510639</v>
      </c>
      <c r="H192" s="150">
        <f t="shared" si="659"/>
        <v>12.632978723404257</v>
      </c>
      <c r="I192" s="150">
        <f t="shared" si="659"/>
        <v>13.164893617021276</v>
      </c>
      <c r="J192" s="150">
        <f t="shared" si="659"/>
        <v>13.696808510638297</v>
      </c>
      <c r="K192" s="150">
        <f t="shared" si="659"/>
        <v>14.361702127659576</v>
      </c>
      <c r="L192" s="150">
        <f t="shared" si="659"/>
        <v>13.829787234042554</v>
      </c>
      <c r="M192" s="150">
        <f t="shared" si="659"/>
        <v>5.4521276595744688</v>
      </c>
      <c r="N192" s="150">
        <f t="shared" si="659"/>
        <v>1.3297872340425532</v>
      </c>
      <c r="O192" s="151">
        <f t="shared" si="659"/>
        <v>1.5957446808510638</v>
      </c>
      <c r="P192" s="151">
        <f t="shared" si="659"/>
        <v>0.93085106382978722</v>
      </c>
      <c r="Q192" s="151">
        <f t="shared" si="659"/>
        <v>0.66489361702127658</v>
      </c>
      <c r="R192" s="152"/>
      <c r="S192" s="204" t="s">
        <v>265</v>
      </c>
    </row>
  </sheetData>
  <sortState columnSort="1" ref="C172:O173">
    <sortCondition ref="C172:O172"/>
  </sortState>
  <mergeCells count="74"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98:A99"/>
    <mergeCell ref="A69:A70"/>
    <mergeCell ref="A71:A72"/>
    <mergeCell ref="A77:A78"/>
    <mergeCell ref="A79:A80"/>
    <mergeCell ref="A81:A82"/>
    <mergeCell ref="A83:A84"/>
    <mergeCell ref="A85:A86"/>
    <mergeCell ref="A87:A88"/>
    <mergeCell ref="A92:A93"/>
    <mergeCell ref="A94:A95"/>
    <mergeCell ref="A96:A97"/>
    <mergeCell ref="A126:A127"/>
    <mergeCell ref="A100:A101"/>
    <mergeCell ref="A102:A103"/>
    <mergeCell ref="A104:A105"/>
    <mergeCell ref="A106:A107"/>
    <mergeCell ref="A108:A109"/>
    <mergeCell ref="A110:A111"/>
    <mergeCell ref="A116:A117"/>
    <mergeCell ref="A118:A119"/>
    <mergeCell ref="A120:A121"/>
    <mergeCell ref="A122:A123"/>
    <mergeCell ref="A124:A125"/>
    <mergeCell ref="A153:A154"/>
    <mergeCell ref="A128:A129"/>
    <mergeCell ref="A130:A131"/>
    <mergeCell ref="A132:A133"/>
    <mergeCell ref="A134:A135"/>
    <mergeCell ref="A139:A140"/>
    <mergeCell ref="A141:A142"/>
    <mergeCell ref="A143:A144"/>
    <mergeCell ref="A145:A146"/>
    <mergeCell ref="A147:A148"/>
    <mergeCell ref="A149:A150"/>
    <mergeCell ref="A151:A152"/>
    <mergeCell ref="A184:A185"/>
    <mergeCell ref="A158:A159"/>
    <mergeCell ref="A160:A161"/>
    <mergeCell ref="A162:A163"/>
    <mergeCell ref="A164:A165"/>
    <mergeCell ref="A166:A167"/>
    <mergeCell ref="A168:A169"/>
    <mergeCell ref="A174:A175"/>
    <mergeCell ref="A176:A177"/>
    <mergeCell ref="A178:A179"/>
    <mergeCell ref="A180:A181"/>
    <mergeCell ref="A182:A183"/>
  </mergeCells>
  <phoneticPr fontId="2"/>
  <pageMargins left="0.7" right="0.7" top="0.75" bottom="0.75" header="0.3" footer="0.3"/>
  <pageSetup paperSize="9" scale="1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E90"/>
  <sheetViews>
    <sheetView zoomScaleNormal="100" workbookViewId="0"/>
  </sheetViews>
  <sheetFormatPr defaultRowHeight="13.2" x14ac:dyDescent="0.2"/>
  <sheetData>
    <row r="1" spans="1:31" x14ac:dyDescent="0.2">
      <c r="A1" s="3" t="s">
        <v>124</v>
      </c>
      <c r="B1" s="1" t="s">
        <v>78</v>
      </c>
      <c r="C1" s="8"/>
      <c r="D1" s="9"/>
      <c r="E1" s="8"/>
      <c r="F1" s="8"/>
      <c r="G1" s="8"/>
      <c r="H1" s="9" t="s">
        <v>19</v>
      </c>
      <c r="I1" s="8"/>
      <c r="J1" s="8"/>
      <c r="K1" s="8"/>
      <c r="L1" s="8"/>
      <c r="M1" s="8"/>
      <c r="N1" s="8"/>
      <c r="O1" s="8"/>
      <c r="P1" s="8"/>
    </row>
    <row r="2" spans="1:31" ht="129.6" x14ac:dyDescent="0.2">
      <c r="A2" s="12" t="s">
        <v>20</v>
      </c>
      <c r="B2" s="59" t="s">
        <v>3</v>
      </c>
      <c r="C2" s="60" t="s">
        <v>79</v>
      </c>
      <c r="D2" s="61" t="s">
        <v>80</v>
      </c>
      <c r="E2" s="61" t="s">
        <v>81</v>
      </c>
      <c r="F2" s="61" t="s">
        <v>125</v>
      </c>
      <c r="G2" s="61" t="s">
        <v>187</v>
      </c>
      <c r="H2" s="62" t="s">
        <v>126</v>
      </c>
      <c r="I2" s="61" t="s">
        <v>82</v>
      </c>
      <c r="J2" s="62" t="s">
        <v>83</v>
      </c>
      <c r="K2" s="61" t="s">
        <v>180</v>
      </c>
      <c r="L2" s="62" t="s">
        <v>84</v>
      </c>
      <c r="M2" s="61" t="s">
        <v>85</v>
      </c>
      <c r="N2" s="61" t="s">
        <v>86</v>
      </c>
      <c r="O2" s="61" t="s">
        <v>57</v>
      </c>
      <c r="P2" s="63"/>
      <c r="Q2" s="103" t="s">
        <v>118</v>
      </c>
    </row>
    <row r="3" spans="1:31" x14ac:dyDescent="0.2">
      <c r="A3" s="269" t="str">
        <f>'問4M（表）'!A3:A4</f>
        <v>全体(n = 1,616 )　　</v>
      </c>
      <c r="B3" s="34">
        <f>'問4M（表）'!B3</f>
        <v>1616</v>
      </c>
      <c r="C3" s="31">
        <f t="shared" ref="C3:O3" si="0">SUM(C5,C7)</f>
        <v>1145</v>
      </c>
      <c r="D3" s="32">
        <f t="shared" si="0"/>
        <v>285</v>
      </c>
      <c r="E3" s="32">
        <f t="shared" si="0"/>
        <v>221</v>
      </c>
      <c r="F3" s="32">
        <f t="shared" si="0"/>
        <v>1068</v>
      </c>
      <c r="G3" s="32">
        <f t="shared" si="0"/>
        <v>425</v>
      </c>
      <c r="H3" s="32">
        <f t="shared" si="0"/>
        <v>53</v>
      </c>
      <c r="I3" s="32">
        <f t="shared" si="0"/>
        <v>853</v>
      </c>
      <c r="J3" s="32">
        <f t="shared" si="0"/>
        <v>153</v>
      </c>
      <c r="K3" s="32">
        <f t="shared" si="0"/>
        <v>259</v>
      </c>
      <c r="L3" s="32">
        <f t="shared" si="0"/>
        <v>402</v>
      </c>
      <c r="M3" s="32">
        <f t="shared" si="0"/>
        <v>412</v>
      </c>
      <c r="N3" s="32">
        <f t="shared" si="0"/>
        <v>505</v>
      </c>
      <c r="O3" s="32">
        <f t="shared" si="0"/>
        <v>11</v>
      </c>
      <c r="P3" s="33"/>
      <c r="Q3" s="104">
        <f>SUM($C3:P3)</f>
        <v>5792</v>
      </c>
    </row>
    <row r="4" spans="1:31" x14ac:dyDescent="0.2">
      <c r="A4" s="270"/>
      <c r="B4" s="35">
        <v>100</v>
      </c>
      <c r="C4" s="20">
        <f>C3/$B3*100</f>
        <v>70.853960396039611</v>
      </c>
      <c r="D4" s="207">
        <f t="shared" ref="D4:O4" si="1">D3/$B3*100</f>
        <v>17.636138613861384</v>
      </c>
      <c r="E4" s="207">
        <f t="shared" si="1"/>
        <v>13.675742574257427</v>
      </c>
      <c r="F4" s="207">
        <f t="shared" si="1"/>
        <v>66.089108910891099</v>
      </c>
      <c r="G4" s="207">
        <f t="shared" si="1"/>
        <v>26.299504950495052</v>
      </c>
      <c r="H4" s="207">
        <f t="shared" si="1"/>
        <v>3.2797029702970297</v>
      </c>
      <c r="I4" s="207">
        <f t="shared" si="1"/>
        <v>52.78465346534653</v>
      </c>
      <c r="J4" s="207">
        <f t="shared" si="1"/>
        <v>9.467821782178218</v>
      </c>
      <c r="K4" s="207">
        <f t="shared" si="1"/>
        <v>16.027227722772277</v>
      </c>
      <c r="L4" s="207">
        <f t="shared" si="1"/>
        <v>24.876237623762375</v>
      </c>
      <c r="M4" s="207">
        <f t="shared" si="1"/>
        <v>25.495049504950494</v>
      </c>
      <c r="N4" s="207">
        <f t="shared" si="1"/>
        <v>31.25</v>
      </c>
      <c r="O4" s="207">
        <f t="shared" si="1"/>
        <v>0.68069306930693074</v>
      </c>
      <c r="P4" s="208"/>
      <c r="Q4" s="104"/>
    </row>
    <row r="5" spans="1:31" x14ac:dyDescent="0.2">
      <c r="A5" s="269" t="str">
        <f>'問4M（表）'!A5:A6</f>
        <v>男性(n = 705 )　　</v>
      </c>
      <c r="B5" s="34">
        <f>'問4M（表）'!B5</f>
        <v>705</v>
      </c>
      <c r="C5" s="28">
        <v>490</v>
      </c>
      <c r="D5" s="29">
        <v>118</v>
      </c>
      <c r="E5" s="29">
        <v>104</v>
      </c>
      <c r="F5" s="29">
        <v>515</v>
      </c>
      <c r="G5" s="29">
        <v>162</v>
      </c>
      <c r="H5" s="29">
        <v>24</v>
      </c>
      <c r="I5" s="29">
        <v>379</v>
      </c>
      <c r="J5" s="29">
        <v>60</v>
      </c>
      <c r="K5" s="29">
        <v>84</v>
      </c>
      <c r="L5" s="29">
        <v>129</v>
      </c>
      <c r="M5" s="29">
        <v>172</v>
      </c>
      <c r="N5" s="29">
        <v>186</v>
      </c>
      <c r="O5" s="29">
        <v>6</v>
      </c>
      <c r="P5" s="30"/>
      <c r="Q5" s="104">
        <f>SUM($C5:P5)</f>
        <v>2429</v>
      </c>
      <c r="R5" t="str">
        <f>" 男性（N = "&amp;$Q$6&amp;" : n = "&amp;$B$5&amp;"）"</f>
        <v xml:space="preserve"> 男性（N = 2,429 : n = 705）</v>
      </c>
    </row>
    <row r="6" spans="1:31" x14ac:dyDescent="0.2">
      <c r="A6" s="270"/>
      <c r="B6" s="20">
        <f>B5/$B$3*100</f>
        <v>43.626237623762378</v>
      </c>
      <c r="C6" s="20">
        <f>C5/$B5*100</f>
        <v>69.503546099290787</v>
      </c>
      <c r="D6" s="207">
        <f t="shared" ref="D6:O6" si="2">D5/$B5*100</f>
        <v>16.73758865248227</v>
      </c>
      <c r="E6" s="207">
        <f t="shared" si="2"/>
        <v>14.75177304964539</v>
      </c>
      <c r="F6" s="207">
        <f t="shared" si="2"/>
        <v>73.049645390070921</v>
      </c>
      <c r="G6" s="207">
        <f t="shared" si="2"/>
        <v>22.978723404255319</v>
      </c>
      <c r="H6" s="207">
        <f t="shared" si="2"/>
        <v>3.4042553191489362</v>
      </c>
      <c r="I6" s="207">
        <f t="shared" si="2"/>
        <v>53.758865248226954</v>
      </c>
      <c r="J6" s="207">
        <f t="shared" si="2"/>
        <v>8.5106382978723403</v>
      </c>
      <c r="K6" s="207">
        <f t="shared" si="2"/>
        <v>11.914893617021278</v>
      </c>
      <c r="L6" s="207">
        <f t="shared" si="2"/>
        <v>18.297872340425531</v>
      </c>
      <c r="M6" s="207">
        <f t="shared" si="2"/>
        <v>24.397163120567374</v>
      </c>
      <c r="N6" s="207">
        <f t="shared" si="2"/>
        <v>26.382978723404253</v>
      </c>
      <c r="O6" s="207">
        <f t="shared" si="2"/>
        <v>0.85106382978723405</v>
      </c>
      <c r="P6" s="208"/>
      <c r="Q6" s="204" t="s">
        <v>266</v>
      </c>
    </row>
    <row r="7" spans="1:31" x14ac:dyDescent="0.2">
      <c r="A7" s="269" t="str">
        <f>'問4M（表）'!A7:A8</f>
        <v>女性(n = 901 )　　</v>
      </c>
      <c r="B7" s="34">
        <f>'問4M（表）'!B7</f>
        <v>901</v>
      </c>
      <c r="C7" s="28">
        <v>655</v>
      </c>
      <c r="D7" s="29">
        <v>167</v>
      </c>
      <c r="E7" s="29">
        <v>117</v>
      </c>
      <c r="F7" s="29">
        <v>553</v>
      </c>
      <c r="G7" s="29">
        <v>263</v>
      </c>
      <c r="H7" s="29">
        <v>29</v>
      </c>
      <c r="I7" s="29">
        <v>474</v>
      </c>
      <c r="J7" s="29">
        <v>93</v>
      </c>
      <c r="K7" s="29">
        <v>175</v>
      </c>
      <c r="L7" s="29">
        <v>273</v>
      </c>
      <c r="M7" s="29">
        <v>240</v>
      </c>
      <c r="N7" s="29">
        <v>319</v>
      </c>
      <c r="O7" s="29">
        <v>5</v>
      </c>
      <c r="P7" s="30"/>
      <c r="Q7" s="104">
        <f>SUM($C7:P7)</f>
        <v>3363</v>
      </c>
      <c r="R7" t="str">
        <f>" 女性（N = "&amp;$Q$8&amp;" : n = "&amp;$B$7&amp;"）"</f>
        <v xml:space="preserve"> 女性（N = 3,363 : n = 901）</v>
      </c>
    </row>
    <row r="8" spans="1:31" x14ac:dyDescent="0.2">
      <c r="A8" s="270"/>
      <c r="B8" s="20">
        <f>B7/$B3*100</f>
        <v>55.754950495049506</v>
      </c>
      <c r="C8" s="20">
        <f t="shared" ref="C8:O8" si="3">C7/$B7*100</f>
        <v>72.697003329633731</v>
      </c>
      <c r="D8" s="207">
        <f t="shared" si="3"/>
        <v>18.534961154273031</v>
      </c>
      <c r="E8" s="207">
        <f t="shared" si="3"/>
        <v>12.985571587125417</v>
      </c>
      <c r="F8" s="207">
        <f t="shared" si="3"/>
        <v>61.376248612652603</v>
      </c>
      <c r="G8" s="207">
        <f t="shared" si="3"/>
        <v>29.189789123196448</v>
      </c>
      <c r="H8" s="207">
        <f t="shared" si="3"/>
        <v>3.2186459489456158</v>
      </c>
      <c r="I8" s="207">
        <f t="shared" si="3"/>
        <v>52.608213096559375</v>
      </c>
      <c r="J8" s="207">
        <f t="shared" si="3"/>
        <v>10.321864594894562</v>
      </c>
      <c r="K8" s="207">
        <f t="shared" si="3"/>
        <v>19.422863485016649</v>
      </c>
      <c r="L8" s="207">
        <f t="shared" si="3"/>
        <v>30.299667036625973</v>
      </c>
      <c r="M8" s="207">
        <f t="shared" si="3"/>
        <v>26.637069922308548</v>
      </c>
      <c r="N8" s="207">
        <f t="shared" si="3"/>
        <v>35.405105438401776</v>
      </c>
      <c r="O8" s="207">
        <f t="shared" si="3"/>
        <v>0.55493895671476134</v>
      </c>
      <c r="P8" s="208"/>
      <c r="Q8" s="204" t="s">
        <v>267</v>
      </c>
    </row>
    <row r="9" spans="1:31" s="186" customFormat="1" x14ac:dyDescent="0.2">
      <c r="A9" s="184"/>
      <c r="B9" s="182"/>
      <c r="C9" s="172">
        <f>_xlfn.RANK.EQ(C4,$C$4:$R$4,0)</f>
        <v>1</v>
      </c>
      <c r="D9" s="172">
        <v>8</v>
      </c>
      <c r="E9" s="172">
        <f t="shared" ref="E9:P9" si="4">_xlfn.RANK.EQ(E4,$C$4:$R$4,0)</f>
        <v>10</v>
      </c>
      <c r="F9" s="172">
        <v>2</v>
      </c>
      <c r="G9" s="172">
        <v>7</v>
      </c>
      <c r="H9" s="172">
        <f t="shared" si="4"/>
        <v>12</v>
      </c>
      <c r="I9" s="172">
        <v>3</v>
      </c>
      <c r="J9" s="172">
        <f t="shared" si="4"/>
        <v>11</v>
      </c>
      <c r="K9" s="172">
        <f t="shared" si="4"/>
        <v>9</v>
      </c>
      <c r="L9" s="172">
        <v>5</v>
      </c>
      <c r="M9" s="172">
        <v>6</v>
      </c>
      <c r="N9" s="172">
        <f t="shared" si="4"/>
        <v>4</v>
      </c>
      <c r="O9" s="172">
        <f t="shared" si="4"/>
        <v>13</v>
      </c>
      <c r="P9" s="172" t="e">
        <f t="shared" si="4"/>
        <v>#N/A</v>
      </c>
      <c r="Q9" s="185"/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R11" s="45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129.6" x14ac:dyDescent="0.2">
      <c r="A12" s="12" t="str">
        <f>A2</f>
        <v>【性別】</v>
      </c>
      <c r="B12" s="59" t="str">
        <f>B2</f>
        <v>調査数</v>
      </c>
      <c r="C12" s="60" t="s">
        <v>79</v>
      </c>
      <c r="D12" s="61" t="s">
        <v>125</v>
      </c>
      <c r="E12" s="61" t="s">
        <v>82</v>
      </c>
      <c r="F12" s="61" t="s">
        <v>86</v>
      </c>
      <c r="G12" s="61" t="s">
        <v>201</v>
      </c>
      <c r="H12" s="61" t="s">
        <v>85</v>
      </c>
      <c r="I12" s="61" t="s">
        <v>84</v>
      </c>
      <c r="J12" s="61" t="s">
        <v>80</v>
      </c>
      <c r="K12" s="61" t="s">
        <v>180</v>
      </c>
      <c r="L12" s="61" t="s">
        <v>177</v>
      </c>
      <c r="M12" s="61" t="s">
        <v>83</v>
      </c>
      <c r="N12" s="62" t="s">
        <v>178</v>
      </c>
      <c r="O12" s="61" t="s">
        <v>57</v>
      </c>
      <c r="P12" s="63"/>
      <c r="Q12" s="44" t="s">
        <v>32</v>
      </c>
      <c r="R12" s="12" t="str">
        <f>A12</f>
        <v>【性別】</v>
      </c>
      <c r="S12" s="60" t="str">
        <f>C12</f>
        <v>テレビ（データ放送を除く）</v>
      </c>
      <c r="T12" s="61" t="str">
        <f t="shared" ref="T12:AE12" si="5">D12</f>
        <v>インターネット（行政機関のホームページを除く）</v>
      </c>
      <c r="U12" s="61" t="str">
        <f t="shared" si="5"/>
        <v>新聞</v>
      </c>
      <c r="V12" s="61" t="str">
        <f t="shared" si="5"/>
        <v>友人、知人からのクチコミ</v>
      </c>
      <c r="W12" s="61" t="str">
        <f t="shared" si="5"/>
        <v>　　　フェイスブック、ツイッターなどのSNS
（ソーシャル・ネットワーキング・サービス）</v>
      </c>
      <c r="X12" s="61" t="str">
        <f t="shared" si="5"/>
        <v>自治会の連絡網、回覧板など</v>
      </c>
      <c r="Y12" s="61" t="str">
        <f t="shared" si="5"/>
        <v>国、県、市町村の広報紙やホームページ</v>
      </c>
      <c r="Z12" s="61" t="str">
        <f t="shared" si="5"/>
        <v>テレビのデータ放送</v>
      </c>
      <c r="AA12" s="61" t="str">
        <f t="shared" si="5"/>
        <v>　　　　　　　　　　　　　　　　フリーペーパー
（戸別配布される無料の地域情報誌など）</v>
      </c>
      <c r="AB12" s="61" t="str">
        <f t="shared" si="5"/>
        <v>ラジオ</v>
      </c>
      <c r="AC12" s="61" t="str">
        <f t="shared" si="5"/>
        <v>雑誌</v>
      </c>
      <c r="AD12" s="62" t="str">
        <f t="shared" si="5"/>
        <v>メールマガジン</v>
      </c>
      <c r="AE12" s="63" t="str">
        <f t="shared" si="5"/>
        <v>その他</v>
      </c>
    </row>
    <row r="13" spans="1:31" ht="12.75" customHeight="1" x14ac:dyDescent="0.2">
      <c r="A13" s="269" t="str">
        <f>A3</f>
        <v>全体(n = 1,616 )　　</v>
      </c>
      <c r="B13" s="113">
        <f>B3</f>
        <v>1616</v>
      </c>
      <c r="C13" s="121">
        <v>1145</v>
      </c>
      <c r="D13" s="122">
        <v>1068</v>
      </c>
      <c r="E13" s="122">
        <v>853</v>
      </c>
      <c r="F13" s="122">
        <v>505</v>
      </c>
      <c r="G13" s="122">
        <v>425</v>
      </c>
      <c r="H13" s="122">
        <v>412</v>
      </c>
      <c r="I13" s="122">
        <v>402</v>
      </c>
      <c r="J13" s="122">
        <v>285</v>
      </c>
      <c r="K13" s="122">
        <v>259</v>
      </c>
      <c r="L13" s="122">
        <v>221</v>
      </c>
      <c r="M13" s="122">
        <v>153</v>
      </c>
      <c r="N13" s="123">
        <v>53</v>
      </c>
      <c r="O13" s="123">
        <v>11</v>
      </c>
      <c r="P13" s="124"/>
      <c r="R13" s="93" t="str">
        <f>A15</f>
        <v>男性(n = 705 )　　</v>
      </c>
      <c r="S13" s="74">
        <f>C16</f>
        <v>69.503546099290787</v>
      </c>
      <c r="T13" s="75">
        <f t="shared" ref="T13:AE13" si="6">D16</f>
        <v>73.049645390070921</v>
      </c>
      <c r="U13" s="75">
        <f t="shared" si="6"/>
        <v>53.758865248226954</v>
      </c>
      <c r="V13" s="75">
        <f t="shared" si="6"/>
        <v>26.382978723404253</v>
      </c>
      <c r="W13" s="75">
        <f t="shared" si="6"/>
        <v>22.978723404255319</v>
      </c>
      <c r="X13" s="75">
        <f t="shared" si="6"/>
        <v>24.397163120567374</v>
      </c>
      <c r="Y13" s="75">
        <f t="shared" si="6"/>
        <v>18.297872340425531</v>
      </c>
      <c r="Z13" s="75">
        <f t="shared" si="6"/>
        <v>16.73758865248227</v>
      </c>
      <c r="AA13" s="75">
        <f t="shared" si="6"/>
        <v>11.914893617021278</v>
      </c>
      <c r="AB13" s="75">
        <f t="shared" si="6"/>
        <v>14.75177304964539</v>
      </c>
      <c r="AC13" s="75">
        <f t="shared" si="6"/>
        <v>8.5106382978723403</v>
      </c>
      <c r="AD13" s="76">
        <f t="shared" si="6"/>
        <v>3.4042553191489362</v>
      </c>
      <c r="AE13" s="77">
        <f t="shared" si="6"/>
        <v>0.85106382978723405</v>
      </c>
    </row>
    <row r="14" spans="1:31" ht="12.75" customHeight="1" x14ac:dyDescent="0.2">
      <c r="A14" s="270"/>
      <c r="B14" s="114">
        <f>B4</f>
        <v>100</v>
      </c>
      <c r="C14" s="125">
        <v>70.853960396039611</v>
      </c>
      <c r="D14" s="126">
        <v>66.089108910891099</v>
      </c>
      <c r="E14" s="126">
        <v>52.78465346534653</v>
      </c>
      <c r="F14" s="126">
        <v>31.25</v>
      </c>
      <c r="G14" s="126">
        <v>26.299504950495052</v>
      </c>
      <c r="H14" s="126">
        <v>25.495049504950494</v>
      </c>
      <c r="I14" s="126">
        <v>24.876237623762375</v>
      </c>
      <c r="J14" s="126">
        <v>17.636138613861384</v>
      </c>
      <c r="K14" s="126">
        <v>16.027227722772277</v>
      </c>
      <c r="L14" s="126">
        <v>13.675742574257427</v>
      </c>
      <c r="M14" s="126">
        <v>9.467821782178218</v>
      </c>
      <c r="N14" s="127">
        <v>3.2797029702970297</v>
      </c>
      <c r="O14" s="127">
        <v>0.68069306930693074</v>
      </c>
      <c r="P14" s="128"/>
      <c r="R14" s="94" t="str">
        <f>A17</f>
        <v>女性(n = 901 )　　</v>
      </c>
      <c r="S14" s="78">
        <f>C18</f>
        <v>72.697003329633731</v>
      </c>
      <c r="T14" s="79">
        <f t="shared" ref="T14:AE14" si="7">D18</f>
        <v>61.376248612652603</v>
      </c>
      <c r="U14" s="79">
        <f t="shared" si="7"/>
        <v>52.608213096559375</v>
      </c>
      <c r="V14" s="79">
        <f t="shared" si="7"/>
        <v>35.405105438401776</v>
      </c>
      <c r="W14" s="79">
        <f t="shared" si="7"/>
        <v>29.189789123196448</v>
      </c>
      <c r="X14" s="79">
        <f t="shared" si="7"/>
        <v>26.637069922308548</v>
      </c>
      <c r="Y14" s="79">
        <f t="shared" si="7"/>
        <v>30.299667036625973</v>
      </c>
      <c r="Z14" s="79">
        <f t="shared" si="7"/>
        <v>18.534961154273031</v>
      </c>
      <c r="AA14" s="79">
        <f t="shared" si="7"/>
        <v>19.422863485016649</v>
      </c>
      <c r="AB14" s="79">
        <f t="shared" si="7"/>
        <v>12.985571587125417</v>
      </c>
      <c r="AC14" s="79">
        <f t="shared" si="7"/>
        <v>10.321864594894562</v>
      </c>
      <c r="AD14" s="80">
        <f t="shared" si="7"/>
        <v>3.2186459489456158</v>
      </c>
      <c r="AE14" s="81">
        <f t="shared" si="7"/>
        <v>0.55493895671476134</v>
      </c>
    </row>
    <row r="15" spans="1:31" x14ac:dyDescent="0.2">
      <c r="A15" s="269" t="str">
        <f>A5</f>
        <v>男性(n = 705 )　　</v>
      </c>
      <c r="B15" s="113">
        <f t="shared" ref="B15:B18" si="8">B5</f>
        <v>705</v>
      </c>
      <c r="C15" s="129">
        <v>490</v>
      </c>
      <c r="D15" s="130">
        <v>515</v>
      </c>
      <c r="E15" s="130">
        <v>379</v>
      </c>
      <c r="F15" s="130">
        <v>186</v>
      </c>
      <c r="G15" s="130">
        <v>162</v>
      </c>
      <c r="H15" s="130">
        <v>172</v>
      </c>
      <c r="I15" s="130">
        <v>129</v>
      </c>
      <c r="J15" s="130">
        <v>118</v>
      </c>
      <c r="K15" s="130">
        <v>84</v>
      </c>
      <c r="L15" s="130">
        <v>104</v>
      </c>
      <c r="M15" s="130">
        <v>60</v>
      </c>
      <c r="N15" s="130">
        <v>24</v>
      </c>
      <c r="O15" s="130">
        <v>6</v>
      </c>
      <c r="P15" s="131"/>
    </row>
    <row r="16" spans="1:31" x14ac:dyDescent="0.2">
      <c r="A16" s="270"/>
      <c r="B16" s="114">
        <f t="shared" si="8"/>
        <v>43.626237623762378</v>
      </c>
      <c r="C16" s="125">
        <v>69.503546099290787</v>
      </c>
      <c r="D16" s="126">
        <v>73.049645390070921</v>
      </c>
      <c r="E16" s="126">
        <v>53.758865248226954</v>
      </c>
      <c r="F16" s="126">
        <v>26.382978723404253</v>
      </c>
      <c r="G16" s="126">
        <v>22.978723404255319</v>
      </c>
      <c r="H16" s="126">
        <v>24.397163120567374</v>
      </c>
      <c r="I16" s="126">
        <v>18.297872340425531</v>
      </c>
      <c r="J16" s="126">
        <v>16.73758865248227</v>
      </c>
      <c r="K16" s="126">
        <v>11.914893617021278</v>
      </c>
      <c r="L16" s="126">
        <v>14.75177304964539</v>
      </c>
      <c r="M16" s="126">
        <v>8.5106382978723403</v>
      </c>
      <c r="N16" s="126">
        <v>3.4042553191489362</v>
      </c>
      <c r="O16" s="126">
        <v>0.85106382978723405</v>
      </c>
      <c r="P16" s="128"/>
    </row>
    <row r="17" spans="1:18" x14ac:dyDescent="0.2">
      <c r="A17" s="269" t="str">
        <f>A7</f>
        <v>女性(n = 901 )　　</v>
      </c>
      <c r="B17" s="113">
        <f t="shared" si="8"/>
        <v>901</v>
      </c>
      <c r="C17" s="129">
        <v>655</v>
      </c>
      <c r="D17" s="130">
        <v>553</v>
      </c>
      <c r="E17" s="130">
        <v>474</v>
      </c>
      <c r="F17" s="130">
        <v>319</v>
      </c>
      <c r="G17" s="130">
        <v>263</v>
      </c>
      <c r="H17" s="130">
        <v>240</v>
      </c>
      <c r="I17" s="130">
        <v>273</v>
      </c>
      <c r="J17" s="130">
        <v>167</v>
      </c>
      <c r="K17" s="130">
        <v>175</v>
      </c>
      <c r="L17" s="130">
        <v>117</v>
      </c>
      <c r="M17" s="130">
        <v>93</v>
      </c>
      <c r="N17" s="130">
        <v>29</v>
      </c>
      <c r="O17" s="130">
        <v>5</v>
      </c>
      <c r="P17" s="131"/>
    </row>
    <row r="18" spans="1:18" x14ac:dyDescent="0.2">
      <c r="A18" s="270"/>
      <c r="B18" s="114">
        <f t="shared" si="8"/>
        <v>55.754950495049506</v>
      </c>
      <c r="C18" s="125">
        <v>72.697003329633731</v>
      </c>
      <c r="D18" s="126">
        <v>61.376248612652603</v>
      </c>
      <c r="E18" s="126">
        <v>52.608213096559375</v>
      </c>
      <c r="F18" s="126">
        <v>35.405105438401776</v>
      </c>
      <c r="G18" s="126">
        <v>29.189789123196448</v>
      </c>
      <c r="H18" s="126">
        <v>26.637069922308548</v>
      </c>
      <c r="I18" s="126">
        <v>30.299667036625973</v>
      </c>
      <c r="J18" s="126">
        <v>18.534961154273031</v>
      </c>
      <c r="K18" s="126">
        <v>19.422863485016649</v>
      </c>
      <c r="L18" s="126">
        <v>12.985571587125417</v>
      </c>
      <c r="M18" s="126">
        <v>10.321864594894562</v>
      </c>
      <c r="N18" s="126">
        <v>3.2186459489456158</v>
      </c>
      <c r="O18" s="126">
        <v>0.55493895671476134</v>
      </c>
      <c r="P18" s="128"/>
    </row>
    <row r="20" spans="1:18" x14ac:dyDescent="0.2">
      <c r="A20" s="9"/>
      <c r="B20" s="9"/>
      <c r="C20" s="9"/>
      <c r="D20" s="9"/>
      <c r="E20" s="8"/>
      <c r="F20" s="8"/>
      <c r="G20" s="8"/>
      <c r="H20" s="9" t="s">
        <v>19</v>
      </c>
      <c r="I20" s="8"/>
      <c r="J20" s="8"/>
      <c r="K20" s="8"/>
      <c r="L20" s="8"/>
      <c r="M20" s="8"/>
      <c r="N20" s="8"/>
      <c r="O20" s="8"/>
      <c r="P20" s="8"/>
    </row>
    <row r="21" spans="1:18" x14ac:dyDescent="0.2">
      <c r="A21" s="3" t="s">
        <v>158</v>
      </c>
      <c r="B21" s="1" t="str">
        <f>B1</f>
        <v>生活に必要な情報の入手媒体</v>
      </c>
      <c r="C21" s="8"/>
      <c r="D21" s="9" t="s">
        <v>1</v>
      </c>
      <c r="E21" s="8"/>
      <c r="F21" s="8"/>
      <c r="G21" s="8"/>
      <c r="H21" s="9" t="s">
        <v>1</v>
      </c>
      <c r="I21" s="8"/>
      <c r="J21" s="8"/>
      <c r="K21" s="8"/>
      <c r="L21" s="8"/>
      <c r="M21" s="8"/>
      <c r="N21" s="8"/>
      <c r="O21" s="8"/>
      <c r="P21" s="8"/>
    </row>
    <row r="22" spans="1:18" ht="129.6" x14ac:dyDescent="0.2">
      <c r="A22" s="12" t="s">
        <v>59</v>
      </c>
      <c r="B22" s="59" t="str">
        <f>B2</f>
        <v>調査数</v>
      </c>
      <c r="C22" s="60" t="s">
        <v>79</v>
      </c>
      <c r="D22" s="61" t="s">
        <v>80</v>
      </c>
      <c r="E22" s="61" t="s">
        <v>177</v>
      </c>
      <c r="F22" s="61" t="s">
        <v>125</v>
      </c>
      <c r="G22" s="61" t="s">
        <v>201</v>
      </c>
      <c r="H22" s="61" t="s">
        <v>178</v>
      </c>
      <c r="I22" s="61" t="s">
        <v>82</v>
      </c>
      <c r="J22" s="61" t="s">
        <v>83</v>
      </c>
      <c r="K22" s="61" t="s">
        <v>180</v>
      </c>
      <c r="L22" s="61" t="s">
        <v>84</v>
      </c>
      <c r="M22" s="61" t="s">
        <v>85</v>
      </c>
      <c r="N22" s="62" t="s">
        <v>86</v>
      </c>
      <c r="O22" s="62" t="s">
        <v>57</v>
      </c>
      <c r="P22" s="63"/>
      <c r="Q22" s="103" t="s">
        <v>118</v>
      </c>
      <c r="R22" s="202"/>
    </row>
    <row r="23" spans="1:18" x14ac:dyDescent="0.2">
      <c r="A23" s="269" t="str">
        <f>'問4M（表）'!A22</f>
        <v>全体(n = 1,616 )　　</v>
      </c>
      <c r="B23" s="34">
        <f>'問4M（表）'!B22</f>
        <v>1616</v>
      </c>
      <c r="C23" s="31">
        <f t="shared" ref="C23:O23" si="9">SUM(C25,C27,C29,C31,C33,C35,C37)</f>
        <v>1141</v>
      </c>
      <c r="D23" s="32">
        <f t="shared" si="9"/>
        <v>285</v>
      </c>
      <c r="E23" s="32">
        <f t="shared" si="9"/>
        <v>222</v>
      </c>
      <c r="F23" s="32">
        <f t="shared" si="9"/>
        <v>1062</v>
      </c>
      <c r="G23" s="32">
        <f t="shared" si="9"/>
        <v>424</v>
      </c>
      <c r="H23" s="32">
        <f t="shared" si="9"/>
        <v>53</v>
      </c>
      <c r="I23" s="32">
        <f t="shared" si="9"/>
        <v>853</v>
      </c>
      <c r="J23" s="32">
        <f t="shared" si="9"/>
        <v>152</v>
      </c>
      <c r="K23" s="32">
        <f t="shared" si="9"/>
        <v>258</v>
      </c>
      <c r="L23" s="32">
        <f t="shared" si="9"/>
        <v>401</v>
      </c>
      <c r="M23" s="32">
        <f t="shared" si="9"/>
        <v>412</v>
      </c>
      <c r="N23" s="32">
        <f t="shared" si="9"/>
        <v>505</v>
      </c>
      <c r="O23" s="32">
        <f t="shared" si="9"/>
        <v>11</v>
      </c>
      <c r="P23" s="33"/>
      <c r="Q23" s="104">
        <f>SUM($C23:P23)</f>
        <v>5779</v>
      </c>
      <c r="R23" s="166"/>
    </row>
    <row r="24" spans="1:18" x14ac:dyDescent="0.2">
      <c r="A24" s="270"/>
      <c r="B24" s="35">
        <v>100</v>
      </c>
      <c r="C24" s="20">
        <f t="shared" ref="C24:O24" si="10">C23/$B23*100</f>
        <v>70.606435643564353</v>
      </c>
      <c r="D24" s="207">
        <f t="shared" si="10"/>
        <v>17.636138613861384</v>
      </c>
      <c r="E24" s="207">
        <f t="shared" si="10"/>
        <v>13.737623762376238</v>
      </c>
      <c r="F24" s="207">
        <f t="shared" si="10"/>
        <v>65.71782178217822</v>
      </c>
      <c r="G24" s="207">
        <f t="shared" si="10"/>
        <v>26.237623762376238</v>
      </c>
      <c r="H24" s="207">
        <f t="shared" si="10"/>
        <v>3.2797029702970297</v>
      </c>
      <c r="I24" s="207">
        <f t="shared" si="10"/>
        <v>52.78465346534653</v>
      </c>
      <c r="J24" s="207">
        <f t="shared" si="10"/>
        <v>9.4059405940594054</v>
      </c>
      <c r="K24" s="207">
        <f t="shared" si="10"/>
        <v>15.965346534653465</v>
      </c>
      <c r="L24" s="207">
        <f t="shared" si="10"/>
        <v>24.814356435643564</v>
      </c>
      <c r="M24" s="207">
        <f t="shared" si="10"/>
        <v>25.495049504950494</v>
      </c>
      <c r="N24" s="207">
        <f t="shared" si="10"/>
        <v>31.25</v>
      </c>
      <c r="O24" s="207">
        <f t="shared" si="10"/>
        <v>0.68069306930693074</v>
      </c>
      <c r="P24" s="208"/>
      <c r="Q24" s="104"/>
    </row>
    <row r="25" spans="1:18" x14ac:dyDescent="0.2">
      <c r="A25" s="269" t="str">
        <f>'問4M（表）'!A24</f>
        <v>18～19歳(n = 21 )　　</v>
      </c>
      <c r="B25" s="34">
        <f>'問4M（表）'!B24</f>
        <v>21</v>
      </c>
      <c r="C25" s="31">
        <v>11</v>
      </c>
      <c r="D25" s="32">
        <v>3</v>
      </c>
      <c r="E25" s="32">
        <v>0</v>
      </c>
      <c r="F25" s="32">
        <v>17</v>
      </c>
      <c r="G25" s="32">
        <v>15</v>
      </c>
      <c r="H25" s="32">
        <v>1</v>
      </c>
      <c r="I25" s="32">
        <v>3</v>
      </c>
      <c r="J25" s="32">
        <v>0</v>
      </c>
      <c r="K25" s="32">
        <v>1</v>
      </c>
      <c r="L25" s="32">
        <v>2</v>
      </c>
      <c r="M25" s="32">
        <v>0</v>
      </c>
      <c r="N25" s="32">
        <v>11</v>
      </c>
      <c r="O25" s="32">
        <v>0</v>
      </c>
      <c r="P25" s="33"/>
      <c r="Q25" s="104">
        <f>SUM($C25:P25)</f>
        <v>64</v>
      </c>
      <c r="R25" t="str">
        <f>" 18～19歳（N = "&amp;Q25&amp;" : n = "&amp;B25&amp;"）"</f>
        <v xml:space="preserve"> 18～19歳（N = 64 : n = 21）</v>
      </c>
    </row>
    <row r="26" spans="1:18" x14ac:dyDescent="0.2">
      <c r="A26" s="270"/>
      <c r="B26" s="20">
        <f>B25/$B$23*100</f>
        <v>1.2995049504950495</v>
      </c>
      <c r="C26" s="20">
        <f t="shared" ref="C26:O26" si="11">C25/$B25*100</f>
        <v>52.380952380952387</v>
      </c>
      <c r="D26" s="207">
        <f t="shared" si="11"/>
        <v>14.285714285714285</v>
      </c>
      <c r="E26" s="207">
        <f t="shared" si="11"/>
        <v>0</v>
      </c>
      <c r="F26" s="207">
        <f t="shared" si="11"/>
        <v>80.952380952380949</v>
      </c>
      <c r="G26" s="207">
        <f t="shared" si="11"/>
        <v>71.428571428571431</v>
      </c>
      <c r="H26" s="207">
        <f t="shared" si="11"/>
        <v>4.7619047619047619</v>
      </c>
      <c r="I26" s="207">
        <f t="shared" si="11"/>
        <v>14.285714285714285</v>
      </c>
      <c r="J26" s="207">
        <f t="shared" si="11"/>
        <v>0</v>
      </c>
      <c r="K26" s="207">
        <f t="shared" si="11"/>
        <v>4.7619047619047619</v>
      </c>
      <c r="L26" s="207">
        <f t="shared" si="11"/>
        <v>9.5238095238095237</v>
      </c>
      <c r="M26" s="207">
        <f t="shared" si="11"/>
        <v>0</v>
      </c>
      <c r="N26" s="207">
        <f t="shared" si="11"/>
        <v>52.380952380952387</v>
      </c>
      <c r="O26" s="207">
        <f t="shared" si="11"/>
        <v>0</v>
      </c>
      <c r="P26" s="208"/>
      <c r="Q26" s="104"/>
    </row>
    <row r="27" spans="1:18" x14ac:dyDescent="0.2">
      <c r="A27" s="269" t="str">
        <f>'問4M（表）'!A26</f>
        <v>20～29歳(n = 119 )　　</v>
      </c>
      <c r="B27" s="34">
        <f>'問4M（表）'!B26</f>
        <v>119</v>
      </c>
      <c r="C27" s="31">
        <v>71</v>
      </c>
      <c r="D27" s="32">
        <v>14</v>
      </c>
      <c r="E27" s="32">
        <v>9</v>
      </c>
      <c r="F27" s="32">
        <v>95</v>
      </c>
      <c r="G27" s="32">
        <v>89</v>
      </c>
      <c r="H27" s="32">
        <v>3</v>
      </c>
      <c r="I27" s="32">
        <v>18</v>
      </c>
      <c r="J27" s="32">
        <v>9</v>
      </c>
      <c r="K27" s="32">
        <v>18</v>
      </c>
      <c r="L27" s="32">
        <v>8</v>
      </c>
      <c r="M27" s="32">
        <v>5</v>
      </c>
      <c r="N27" s="32">
        <v>45</v>
      </c>
      <c r="O27" s="32">
        <v>0</v>
      </c>
      <c r="P27" s="33"/>
      <c r="Q27" s="104">
        <f>SUM($C27:P27)</f>
        <v>384</v>
      </c>
      <c r="R27" t="str">
        <f>" 20～29歳（N = "&amp;Q27&amp;" : n = "&amp;B27&amp;"）"</f>
        <v xml:space="preserve"> 20～29歳（N = 384 : n = 119）</v>
      </c>
    </row>
    <row r="28" spans="1:18" x14ac:dyDescent="0.2">
      <c r="A28" s="270"/>
      <c r="B28" s="20">
        <f>B27/$B$23*100</f>
        <v>7.3638613861386135</v>
      </c>
      <c r="C28" s="20">
        <f t="shared" ref="C28:O28" si="12">C27/$B27*100</f>
        <v>59.663865546218489</v>
      </c>
      <c r="D28" s="207">
        <f t="shared" si="12"/>
        <v>11.76470588235294</v>
      </c>
      <c r="E28" s="207">
        <f t="shared" si="12"/>
        <v>7.5630252100840334</v>
      </c>
      <c r="F28" s="207">
        <f t="shared" si="12"/>
        <v>79.831932773109244</v>
      </c>
      <c r="G28" s="207">
        <f t="shared" si="12"/>
        <v>74.789915966386559</v>
      </c>
      <c r="H28" s="207">
        <f t="shared" si="12"/>
        <v>2.5210084033613445</v>
      </c>
      <c r="I28" s="207">
        <f t="shared" si="12"/>
        <v>15.126050420168067</v>
      </c>
      <c r="J28" s="207">
        <f t="shared" si="12"/>
        <v>7.5630252100840334</v>
      </c>
      <c r="K28" s="207">
        <f t="shared" si="12"/>
        <v>15.126050420168067</v>
      </c>
      <c r="L28" s="207">
        <f t="shared" si="12"/>
        <v>6.7226890756302522</v>
      </c>
      <c r="M28" s="207">
        <f t="shared" si="12"/>
        <v>4.2016806722689077</v>
      </c>
      <c r="N28" s="207">
        <f t="shared" si="12"/>
        <v>37.815126050420169</v>
      </c>
      <c r="O28" s="207">
        <f t="shared" si="12"/>
        <v>0</v>
      </c>
      <c r="P28" s="208"/>
      <c r="Q28" s="104"/>
    </row>
    <row r="29" spans="1:18" x14ac:dyDescent="0.2">
      <c r="A29" s="269" t="str">
        <f>'問4M（表）'!A28</f>
        <v>30～39歳(n = 196 )　　</v>
      </c>
      <c r="B29" s="34">
        <f>'問4M（表）'!B28</f>
        <v>196</v>
      </c>
      <c r="C29" s="31">
        <v>116</v>
      </c>
      <c r="D29" s="32">
        <v>23</v>
      </c>
      <c r="E29" s="32">
        <v>13</v>
      </c>
      <c r="F29" s="32">
        <v>169</v>
      </c>
      <c r="G29" s="32">
        <v>111</v>
      </c>
      <c r="H29" s="32">
        <v>6</v>
      </c>
      <c r="I29" s="32">
        <v>38</v>
      </c>
      <c r="J29" s="32">
        <v>18</v>
      </c>
      <c r="K29" s="32">
        <v>40</v>
      </c>
      <c r="L29" s="32">
        <v>35</v>
      </c>
      <c r="M29" s="32">
        <v>25</v>
      </c>
      <c r="N29" s="32">
        <v>68</v>
      </c>
      <c r="O29" s="32">
        <v>1</v>
      </c>
      <c r="P29" s="33"/>
      <c r="Q29" s="104">
        <f>SUM($C29:P29)</f>
        <v>663</v>
      </c>
      <c r="R29" t="str">
        <f>" 30～39歳（N = "&amp;Q29&amp;" : n = "&amp;B29&amp;"）"</f>
        <v xml:space="preserve"> 30～39歳（N = 663 : n = 196）</v>
      </c>
    </row>
    <row r="30" spans="1:18" x14ac:dyDescent="0.2">
      <c r="A30" s="270"/>
      <c r="B30" s="20">
        <f>B29/$B$23*100</f>
        <v>12.128712871287128</v>
      </c>
      <c r="C30" s="20">
        <f t="shared" ref="C30:O30" si="13">C29/$B29*100</f>
        <v>59.183673469387756</v>
      </c>
      <c r="D30" s="207">
        <f t="shared" si="13"/>
        <v>11.73469387755102</v>
      </c>
      <c r="E30" s="207">
        <f t="shared" si="13"/>
        <v>6.6326530612244898</v>
      </c>
      <c r="F30" s="207">
        <f t="shared" si="13"/>
        <v>86.224489795918373</v>
      </c>
      <c r="G30" s="207">
        <f t="shared" si="13"/>
        <v>56.632653061224488</v>
      </c>
      <c r="H30" s="207">
        <f t="shared" si="13"/>
        <v>3.0612244897959182</v>
      </c>
      <c r="I30" s="207">
        <f t="shared" si="13"/>
        <v>19.387755102040817</v>
      </c>
      <c r="J30" s="207">
        <f t="shared" si="13"/>
        <v>9.183673469387756</v>
      </c>
      <c r="K30" s="207">
        <f t="shared" si="13"/>
        <v>20.408163265306122</v>
      </c>
      <c r="L30" s="207">
        <f t="shared" si="13"/>
        <v>17.857142857142858</v>
      </c>
      <c r="M30" s="207">
        <f t="shared" si="13"/>
        <v>12.755102040816327</v>
      </c>
      <c r="N30" s="207">
        <f t="shared" si="13"/>
        <v>34.693877551020407</v>
      </c>
      <c r="O30" s="207">
        <f t="shared" si="13"/>
        <v>0.51020408163265307</v>
      </c>
      <c r="P30" s="208"/>
      <c r="Q30" s="104"/>
    </row>
    <row r="31" spans="1:18" x14ac:dyDescent="0.2">
      <c r="A31" s="269" t="str">
        <f>'問4M（表）'!A30</f>
        <v>40～49歳(n = 281 )　　</v>
      </c>
      <c r="B31" s="34">
        <f>'問4M（表）'!B30</f>
        <v>281</v>
      </c>
      <c r="C31" s="31">
        <v>187</v>
      </c>
      <c r="D31" s="32">
        <v>50</v>
      </c>
      <c r="E31" s="32">
        <v>22</v>
      </c>
      <c r="F31" s="32">
        <v>237</v>
      </c>
      <c r="G31" s="32">
        <v>97</v>
      </c>
      <c r="H31" s="32">
        <v>13</v>
      </c>
      <c r="I31" s="32">
        <v>104</v>
      </c>
      <c r="J31" s="32">
        <v>21</v>
      </c>
      <c r="K31" s="32">
        <v>58</v>
      </c>
      <c r="L31" s="32">
        <v>70</v>
      </c>
      <c r="M31" s="32">
        <v>57</v>
      </c>
      <c r="N31" s="32">
        <v>81</v>
      </c>
      <c r="O31" s="32">
        <v>1</v>
      </c>
      <c r="P31" s="33"/>
      <c r="Q31" s="104">
        <f>SUM($C31:P31)</f>
        <v>998</v>
      </c>
      <c r="R31" t="str">
        <f>" 40～49歳（N = "&amp;Q31&amp;" : n = "&amp;B31&amp;"）"</f>
        <v xml:space="preserve"> 40～49歳（N = 998 : n = 281）</v>
      </c>
    </row>
    <row r="32" spans="1:18" x14ac:dyDescent="0.2">
      <c r="A32" s="270"/>
      <c r="B32" s="20">
        <f>B31/$B$23*100</f>
        <v>17.388613861386137</v>
      </c>
      <c r="C32" s="20">
        <f t="shared" ref="C32:O32" si="14">C31/$B31*100</f>
        <v>66.548042704626326</v>
      </c>
      <c r="D32" s="207">
        <f t="shared" si="14"/>
        <v>17.793594306049823</v>
      </c>
      <c r="E32" s="207">
        <f t="shared" si="14"/>
        <v>7.8291814946619214</v>
      </c>
      <c r="F32" s="207">
        <f t="shared" si="14"/>
        <v>84.341637010676152</v>
      </c>
      <c r="G32" s="207">
        <f t="shared" si="14"/>
        <v>34.519572953736656</v>
      </c>
      <c r="H32" s="207">
        <f t="shared" si="14"/>
        <v>4.6263345195729535</v>
      </c>
      <c r="I32" s="207">
        <f t="shared" si="14"/>
        <v>37.010676156583628</v>
      </c>
      <c r="J32" s="207">
        <f t="shared" si="14"/>
        <v>7.4733096085409247</v>
      </c>
      <c r="K32" s="207">
        <f t="shared" si="14"/>
        <v>20.640569395017792</v>
      </c>
      <c r="L32" s="207">
        <f t="shared" si="14"/>
        <v>24.911032028469752</v>
      </c>
      <c r="M32" s="207">
        <f t="shared" si="14"/>
        <v>20.284697508896798</v>
      </c>
      <c r="N32" s="207">
        <f t="shared" si="14"/>
        <v>28.825622775800714</v>
      </c>
      <c r="O32" s="207">
        <f t="shared" si="14"/>
        <v>0.35587188612099641</v>
      </c>
      <c r="P32" s="208"/>
      <c r="Q32" s="195"/>
    </row>
    <row r="33" spans="1:31" x14ac:dyDescent="0.2">
      <c r="A33" s="269" t="str">
        <f>'問4M（表）'!A32</f>
        <v>50～59歳(n = 320 )　　</v>
      </c>
      <c r="B33" s="34">
        <f>'問4M（表）'!B32</f>
        <v>320</v>
      </c>
      <c r="C33" s="31">
        <v>247</v>
      </c>
      <c r="D33" s="32">
        <v>58</v>
      </c>
      <c r="E33" s="32">
        <v>55</v>
      </c>
      <c r="F33" s="32">
        <v>247</v>
      </c>
      <c r="G33" s="32">
        <v>68</v>
      </c>
      <c r="H33" s="32">
        <v>15</v>
      </c>
      <c r="I33" s="32">
        <v>179</v>
      </c>
      <c r="J33" s="32">
        <v>25</v>
      </c>
      <c r="K33" s="32">
        <v>50</v>
      </c>
      <c r="L33" s="32">
        <v>78</v>
      </c>
      <c r="M33" s="32">
        <v>61</v>
      </c>
      <c r="N33" s="32">
        <v>97</v>
      </c>
      <c r="O33" s="32">
        <v>3</v>
      </c>
      <c r="P33" s="33"/>
      <c r="Q33" s="104">
        <f>SUM($C33:P33)</f>
        <v>1183</v>
      </c>
      <c r="R33" t="str">
        <f>" 50～59歳（N = "&amp;Q34&amp;" : n = "&amp;B33&amp;"）"</f>
        <v xml:space="preserve"> 50～59歳（N = 1,183 : n = 320）</v>
      </c>
    </row>
    <row r="34" spans="1:31" x14ac:dyDescent="0.2">
      <c r="A34" s="270"/>
      <c r="B34" s="20">
        <f>B33/$B$23*100</f>
        <v>19.801980198019802</v>
      </c>
      <c r="C34" s="20">
        <f t="shared" ref="C34:O34" si="15">C33/$B33*100</f>
        <v>77.1875</v>
      </c>
      <c r="D34" s="207">
        <f t="shared" si="15"/>
        <v>18.125</v>
      </c>
      <c r="E34" s="207">
        <f t="shared" si="15"/>
        <v>17.1875</v>
      </c>
      <c r="F34" s="207">
        <f t="shared" si="15"/>
        <v>77.1875</v>
      </c>
      <c r="G34" s="207">
        <f t="shared" si="15"/>
        <v>21.25</v>
      </c>
      <c r="H34" s="207">
        <f t="shared" si="15"/>
        <v>4.6875</v>
      </c>
      <c r="I34" s="207">
        <f t="shared" si="15"/>
        <v>55.937499999999993</v>
      </c>
      <c r="J34" s="207">
        <f t="shared" si="15"/>
        <v>7.8125</v>
      </c>
      <c r="K34" s="207">
        <f t="shared" si="15"/>
        <v>15.625</v>
      </c>
      <c r="L34" s="207">
        <f t="shared" si="15"/>
        <v>24.375</v>
      </c>
      <c r="M34" s="207">
        <f t="shared" si="15"/>
        <v>19.0625</v>
      </c>
      <c r="N34" s="207">
        <f t="shared" si="15"/>
        <v>30.312499999999996</v>
      </c>
      <c r="O34" s="207">
        <f t="shared" si="15"/>
        <v>0.9375</v>
      </c>
      <c r="P34" s="208"/>
      <c r="Q34" s="204" t="s">
        <v>268</v>
      </c>
    </row>
    <row r="35" spans="1:31" x14ac:dyDescent="0.2">
      <c r="A35" s="269" t="str">
        <f>'問4M（表）'!A34</f>
        <v>60～69歳(n = 352 )　　</v>
      </c>
      <c r="B35" s="34">
        <f>'問4M（表）'!B34</f>
        <v>352</v>
      </c>
      <c r="C35" s="31">
        <v>269</v>
      </c>
      <c r="D35" s="32">
        <v>60</v>
      </c>
      <c r="E35" s="32">
        <v>55</v>
      </c>
      <c r="F35" s="32">
        <v>217</v>
      </c>
      <c r="G35" s="32">
        <v>36</v>
      </c>
      <c r="H35" s="32">
        <v>12</v>
      </c>
      <c r="I35" s="32">
        <v>247</v>
      </c>
      <c r="J35" s="32">
        <v>44</v>
      </c>
      <c r="K35" s="32">
        <v>39</v>
      </c>
      <c r="L35" s="32">
        <v>108</v>
      </c>
      <c r="M35" s="32">
        <v>117</v>
      </c>
      <c r="N35" s="32">
        <v>105</v>
      </c>
      <c r="O35" s="32">
        <v>0</v>
      </c>
      <c r="P35" s="33"/>
      <c r="Q35" s="104">
        <f>SUM($C35:P35)</f>
        <v>1309</v>
      </c>
      <c r="R35" t="str">
        <f>" 60～69歳（N = "&amp;Q36&amp;" : n = "&amp;B35&amp;"）"</f>
        <v xml:space="preserve"> 60～69歳（N = 1,309 : n = 352）</v>
      </c>
    </row>
    <row r="36" spans="1:31" x14ac:dyDescent="0.2">
      <c r="A36" s="270"/>
      <c r="B36" s="20">
        <f>B35/$B$23*100</f>
        <v>21.782178217821784</v>
      </c>
      <c r="C36" s="20">
        <f t="shared" ref="C36:O36" si="16">C35/$B35*100</f>
        <v>76.420454545454547</v>
      </c>
      <c r="D36" s="207">
        <f t="shared" si="16"/>
        <v>17.045454545454543</v>
      </c>
      <c r="E36" s="207">
        <f t="shared" si="16"/>
        <v>15.625</v>
      </c>
      <c r="F36" s="207">
        <f t="shared" si="16"/>
        <v>61.647727272727273</v>
      </c>
      <c r="G36" s="207">
        <f t="shared" si="16"/>
        <v>10.227272727272728</v>
      </c>
      <c r="H36" s="207">
        <f t="shared" si="16"/>
        <v>3.4090909090909087</v>
      </c>
      <c r="I36" s="207">
        <f t="shared" si="16"/>
        <v>70.170454545454547</v>
      </c>
      <c r="J36" s="207">
        <f t="shared" si="16"/>
        <v>12.5</v>
      </c>
      <c r="K36" s="207">
        <f t="shared" si="16"/>
        <v>11.079545454545455</v>
      </c>
      <c r="L36" s="207">
        <f t="shared" si="16"/>
        <v>30.681818181818183</v>
      </c>
      <c r="M36" s="207">
        <f t="shared" si="16"/>
        <v>33.238636363636367</v>
      </c>
      <c r="N36" s="207">
        <f t="shared" si="16"/>
        <v>29.829545454545453</v>
      </c>
      <c r="O36" s="207">
        <f t="shared" si="16"/>
        <v>0</v>
      </c>
      <c r="P36" s="208"/>
      <c r="Q36" s="204" t="s">
        <v>269</v>
      </c>
    </row>
    <row r="37" spans="1:31" x14ac:dyDescent="0.2">
      <c r="A37" s="269" t="str">
        <f>'問4M（表）'!A36</f>
        <v>70歳以上(n = 315 )　　</v>
      </c>
      <c r="B37" s="34">
        <f>'問4M（表）'!B36</f>
        <v>315</v>
      </c>
      <c r="C37" s="31">
        <v>240</v>
      </c>
      <c r="D37" s="32">
        <v>77</v>
      </c>
      <c r="E37" s="32">
        <v>68</v>
      </c>
      <c r="F37" s="32">
        <v>80</v>
      </c>
      <c r="G37" s="32">
        <v>8</v>
      </c>
      <c r="H37" s="32">
        <v>3</v>
      </c>
      <c r="I37" s="32">
        <v>264</v>
      </c>
      <c r="J37" s="32">
        <v>35</v>
      </c>
      <c r="K37" s="32">
        <v>52</v>
      </c>
      <c r="L37" s="32">
        <v>100</v>
      </c>
      <c r="M37" s="32">
        <v>147</v>
      </c>
      <c r="N37" s="32">
        <v>98</v>
      </c>
      <c r="O37" s="32">
        <v>6</v>
      </c>
      <c r="P37" s="33"/>
      <c r="Q37" s="104">
        <f>SUM($C37:P37)</f>
        <v>1178</v>
      </c>
      <c r="R37" t="str">
        <f>" 70歳以上（N = "&amp;Q38&amp;" : n = "&amp;B37&amp;"）"</f>
        <v xml:space="preserve"> 70歳以上（N = 1,178 : n = 315）</v>
      </c>
    </row>
    <row r="38" spans="1:31" x14ac:dyDescent="0.2">
      <c r="A38" s="270"/>
      <c r="B38" s="20">
        <f>B37/$B$23*100</f>
        <v>19.492574257425744</v>
      </c>
      <c r="C38" s="20">
        <f t="shared" ref="C38:O38" si="17">C37/$B37*100</f>
        <v>76.19047619047619</v>
      </c>
      <c r="D38" s="207">
        <f t="shared" si="17"/>
        <v>24.444444444444443</v>
      </c>
      <c r="E38" s="207">
        <f t="shared" si="17"/>
        <v>21.587301587301589</v>
      </c>
      <c r="F38" s="207">
        <f t="shared" si="17"/>
        <v>25.396825396825395</v>
      </c>
      <c r="G38" s="207">
        <f t="shared" si="17"/>
        <v>2.5396825396825395</v>
      </c>
      <c r="H38" s="207">
        <f t="shared" si="17"/>
        <v>0.95238095238095244</v>
      </c>
      <c r="I38" s="207">
        <f t="shared" si="17"/>
        <v>83.80952380952381</v>
      </c>
      <c r="J38" s="207">
        <f t="shared" si="17"/>
        <v>11.111111111111111</v>
      </c>
      <c r="K38" s="207">
        <f t="shared" si="17"/>
        <v>16.507936507936506</v>
      </c>
      <c r="L38" s="207">
        <f t="shared" si="17"/>
        <v>31.746031746031743</v>
      </c>
      <c r="M38" s="207">
        <f t="shared" si="17"/>
        <v>46.666666666666664</v>
      </c>
      <c r="N38" s="207">
        <f t="shared" si="17"/>
        <v>31.111111111111111</v>
      </c>
      <c r="O38" s="207">
        <f t="shared" si="17"/>
        <v>1.9047619047619049</v>
      </c>
      <c r="P38" s="208"/>
      <c r="Q38" s="204" t="s">
        <v>270</v>
      </c>
    </row>
    <row r="39" spans="1:31" s="186" customFormat="1" x14ac:dyDescent="0.2">
      <c r="A39" s="184"/>
      <c r="B39" s="182"/>
      <c r="C39" s="172">
        <f>_xlfn.RANK.EQ(C24,$C$24:$R$24,0)</f>
        <v>1</v>
      </c>
      <c r="D39" s="172">
        <f t="shared" ref="D39:P39" si="18">_xlfn.RANK.EQ(D24,$C$24:$R$24,0)</f>
        <v>8</v>
      </c>
      <c r="E39" s="172">
        <f t="shared" si="18"/>
        <v>10</v>
      </c>
      <c r="F39" s="172">
        <f t="shared" si="18"/>
        <v>2</v>
      </c>
      <c r="G39" s="172">
        <f t="shared" si="18"/>
        <v>5</v>
      </c>
      <c r="H39" s="172">
        <f t="shared" si="18"/>
        <v>12</v>
      </c>
      <c r="I39" s="172">
        <f t="shared" si="18"/>
        <v>3</v>
      </c>
      <c r="J39" s="172">
        <f t="shared" si="18"/>
        <v>11</v>
      </c>
      <c r="K39" s="172">
        <f t="shared" si="18"/>
        <v>9</v>
      </c>
      <c r="L39" s="172">
        <f t="shared" si="18"/>
        <v>7</v>
      </c>
      <c r="M39" s="172">
        <f t="shared" si="18"/>
        <v>6</v>
      </c>
      <c r="N39" s="172">
        <f t="shared" si="18"/>
        <v>4</v>
      </c>
      <c r="O39" s="172">
        <f t="shared" si="18"/>
        <v>13</v>
      </c>
      <c r="P39" s="172" t="e">
        <f t="shared" si="18"/>
        <v>#N/A</v>
      </c>
      <c r="Q39" s="185"/>
    </row>
    <row r="40" spans="1:31" x14ac:dyDescent="0.2">
      <c r="A40" s="26" t="s">
        <v>60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31" x14ac:dyDescent="0.2">
      <c r="A41" s="6" t="s">
        <v>4</v>
      </c>
      <c r="B41" s="4"/>
      <c r="C41" s="27">
        <v>1</v>
      </c>
      <c r="D41" s="27">
        <v>2</v>
      </c>
      <c r="E41" s="27">
        <v>3</v>
      </c>
      <c r="F41" s="27">
        <v>4</v>
      </c>
      <c r="G41" s="27">
        <v>5</v>
      </c>
      <c r="H41" s="27">
        <v>6</v>
      </c>
      <c r="I41" s="27">
        <v>7</v>
      </c>
      <c r="J41" s="27">
        <v>8</v>
      </c>
      <c r="K41" s="27">
        <v>9</v>
      </c>
      <c r="L41" s="27">
        <v>10</v>
      </c>
      <c r="M41" s="27">
        <v>11</v>
      </c>
      <c r="N41" s="27">
        <v>12</v>
      </c>
      <c r="O41" s="27">
        <v>13</v>
      </c>
      <c r="P41" s="27">
        <v>14</v>
      </c>
      <c r="R41" s="45"/>
      <c r="S41" s="27">
        <v>1</v>
      </c>
      <c r="T41" s="27">
        <v>2</v>
      </c>
      <c r="U41" s="27">
        <v>3</v>
      </c>
      <c r="V41" s="27">
        <v>4</v>
      </c>
      <c r="W41" s="27">
        <v>5</v>
      </c>
      <c r="X41" s="27">
        <v>6</v>
      </c>
      <c r="Y41" s="27">
        <v>7</v>
      </c>
      <c r="Z41" s="27">
        <v>8</v>
      </c>
      <c r="AA41" s="27">
        <v>9</v>
      </c>
      <c r="AB41" s="27">
        <v>10</v>
      </c>
      <c r="AC41" s="27">
        <v>11</v>
      </c>
      <c r="AD41" s="27">
        <v>12</v>
      </c>
      <c r="AE41" s="27">
        <v>13</v>
      </c>
    </row>
    <row r="42" spans="1:31" ht="129.6" x14ac:dyDescent="0.2">
      <c r="A42" s="12" t="str">
        <f>A22</f>
        <v>【年代別】</v>
      </c>
      <c r="B42" s="59" t="s">
        <v>157</v>
      </c>
      <c r="C42" s="60" t="s">
        <v>79</v>
      </c>
      <c r="D42" s="61" t="s">
        <v>125</v>
      </c>
      <c r="E42" s="61" t="s">
        <v>82</v>
      </c>
      <c r="F42" s="61" t="s">
        <v>86</v>
      </c>
      <c r="G42" s="61" t="s">
        <v>201</v>
      </c>
      <c r="H42" s="61" t="s">
        <v>85</v>
      </c>
      <c r="I42" s="61" t="s">
        <v>84</v>
      </c>
      <c r="J42" s="61" t="s">
        <v>80</v>
      </c>
      <c r="K42" s="61" t="s">
        <v>180</v>
      </c>
      <c r="L42" s="61" t="s">
        <v>177</v>
      </c>
      <c r="M42" s="61" t="s">
        <v>83</v>
      </c>
      <c r="N42" s="62" t="s">
        <v>178</v>
      </c>
      <c r="O42" s="62" t="s">
        <v>57</v>
      </c>
      <c r="P42" s="63"/>
      <c r="Q42" s="44" t="s">
        <v>32</v>
      </c>
      <c r="R42" s="12" t="str">
        <f>A42</f>
        <v>【年代別】</v>
      </c>
      <c r="S42" s="60" t="str">
        <f>C42</f>
        <v>テレビ（データ放送を除く）</v>
      </c>
      <c r="T42" s="61" t="str">
        <f t="shared" ref="T42:AE42" si="19">D42</f>
        <v>インターネット（行政機関のホームページを除く）</v>
      </c>
      <c r="U42" s="61" t="str">
        <f t="shared" si="19"/>
        <v>新聞</v>
      </c>
      <c r="V42" s="61" t="str">
        <f t="shared" si="19"/>
        <v>友人、知人からのクチコミ</v>
      </c>
      <c r="W42" s="61" t="str">
        <f t="shared" si="19"/>
        <v>　　　フェイスブック、ツイッターなどのSNS
（ソーシャル・ネットワーキング・サービス）</v>
      </c>
      <c r="X42" s="61" t="str">
        <f t="shared" si="19"/>
        <v>自治会の連絡網、回覧板など</v>
      </c>
      <c r="Y42" s="62" t="str">
        <f t="shared" si="19"/>
        <v>国、県、市町村の広報紙やホームページ</v>
      </c>
      <c r="Z42" s="106" t="str">
        <f t="shared" si="19"/>
        <v>テレビのデータ放送</v>
      </c>
      <c r="AA42" s="61" t="str">
        <f t="shared" si="19"/>
        <v>　　　　　　　　　　　　　　　　フリーペーパー
（戸別配布される無料の地域情報誌など）</v>
      </c>
      <c r="AB42" s="61" t="str">
        <f t="shared" si="19"/>
        <v>ラジオ</v>
      </c>
      <c r="AC42" s="61" t="str">
        <f t="shared" si="19"/>
        <v>雑誌</v>
      </c>
      <c r="AD42" s="62" t="str">
        <f t="shared" si="19"/>
        <v>メールマガジン</v>
      </c>
      <c r="AE42" s="63" t="str">
        <f t="shared" si="19"/>
        <v>その他</v>
      </c>
    </row>
    <row r="43" spans="1:31" ht="12.75" customHeight="1" x14ac:dyDescent="0.2">
      <c r="A43" s="269" t="str">
        <f>A23</f>
        <v>全体(n = 1,616 )　　</v>
      </c>
      <c r="B43" s="113">
        <f>B23</f>
        <v>1616</v>
      </c>
      <c r="C43" s="121">
        <v>1141</v>
      </c>
      <c r="D43" s="122">
        <v>1062</v>
      </c>
      <c r="E43" s="122">
        <v>853</v>
      </c>
      <c r="F43" s="122">
        <v>505</v>
      </c>
      <c r="G43" s="122">
        <v>424</v>
      </c>
      <c r="H43" s="122">
        <v>412</v>
      </c>
      <c r="I43" s="122">
        <v>401</v>
      </c>
      <c r="J43" s="122">
        <v>285</v>
      </c>
      <c r="K43" s="122">
        <v>258</v>
      </c>
      <c r="L43" s="122">
        <v>222</v>
      </c>
      <c r="M43" s="122">
        <v>152</v>
      </c>
      <c r="N43" s="123">
        <v>53</v>
      </c>
      <c r="O43" s="123">
        <v>11</v>
      </c>
      <c r="P43" s="124"/>
      <c r="R43" s="93" t="str">
        <f>A45</f>
        <v>18～19歳(n = 21 )　　</v>
      </c>
      <c r="S43" s="84">
        <f>C46</f>
        <v>52.380952380952387</v>
      </c>
      <c r="T43" s="85">
        <f t="shared" ref="T43:AE43" si="20">D46</f>
        <v>80.952380952380949</v>
      </c>
      <c r="U43" s="85">
        <f t="shared" si="20"/>
        <v>14.285714285714285</v>
      </c>
      <c r="V43" s="85">
        <f t="shared" si="20"/>
        <v>52.380952380952387</v>
      </c>
      <c r="W43" s="85">
        <f t="shared" si="20"/>
        <v>71.428571428571431</v>
      </c>
      <c r="X43" s="85">
        <f t="shared" si="20"/>
        <v>0</v>
      </c>
      <c r="Y43" s="86">
        <f t="shared" si="20"/>
        <v>9.5238095238095237</v>
      </c>
      <c r="Z43" s="108">
        <f t="shared" si="20"/>
        <v>14.285714285714285</v>
      </c>
      <c r="AA43" s="85">
        <f t="shared" si="20"/>
        <v>4.7619047619047619</v>
      </c>
      <c r="AB43" s="85">
        <f t="shared" si="20"/>
        <v>0</v>
      </c>
      <c r="AC43" s="85">
        <f t="shared" si="20"/>
        <v>0</v>
      </c>
      <c r="AD43" s="86">
        <f t="shared" si="20"/>
        <v>4.7619047619047619</v>
      </c>
      <c r="AE43" s="87">
        <f t="shared" si="20"/>
        <v>0</v>
      </c>
    </row>
    <row r="44" spans="1:31" ht="12.75" customHeight="1" x14ac:dyDescent="0.2">
      <c r="A44" s="270"/>
      <c r="B44" s="114">
        <f>B24</f>
        <v>100</v>
      </c>
      <c r="C44" s="125">
        <v>70.606435643564353</v>
      </c>
      <c r="D44" s="126">
        <v>65.71782178217822</v>
      </c>
      <c r="E44" s="126">
        <v>52.78465346534653</v>
      </c>
      <c r="F44" s="126">
        <v>31.25</v>
      </c>
      <c r="G44" s="126">
        <v>26.237623762376238</v>
      </c>
      <c r="H44" s="126">
        <v>25.495049504950494</v>
      </c>
      <c r="I44" s="126">
        <v>24.814356435643564</v>
      </c>
      <c r="J44" s="126">
        <v>17.636138613861384</v>
      </c>
      <c r="K44" s="126">
        <v>15.965346534653465</v>
      </c>
      <c r="L44" s="126">
        <v>13.737623762376238</v>
      </c>
      <c r="M44" s="126">
        <v>9.4059405940594054</v>
      </c>
      <c r="N44" s="127">
        <v>3.2797029702970297</v>
      </c>
      <c r="O44" s="127">
        <v>0.68069306930693074</v>
      </c>
      <c r="P44" s="128"/>
      <c r="R44" s="174" t="str">
        <f>A47</f>
        <v>20～29歳(n = 119 )　　</v>
      </c>
      <c r="S44" s="74">
        <f>C48</f>
        <v>59.663865546218489</v>
      </c>
      <c r="T44" s="75">
        <f t="shared" ref="T44:AE44" si="21">D48</f>
        <v>79.831932773109244</v>
      </c>
      <c r="U44" s="75">
        <f t="shared" si="21"/>
        <v>15.126050420168067</v>
      </c>
      <c r="V44" s="75">
        <f t="shared" si="21"/>
        <v>37.815126050420169</v>
      </c>
      <c r="W44" s="75">
        <f t="shared" si="21"/>
        <v>74.789915966386559</v>
      </c>
      <c r="X44" s="75">
        <f t="shared" si="21"/>
        <v>4.2016806722689077</v>
      </c>
      <c r="Y44" s="76">
        <f t="shared" si="21"/>
        <v>6.7226890756302522</v>
      </c>
      <c r="Z44" s="175">
        <f t="shared" si="21"/>
        <v>11.76470588235294</v>
      </c>
      <c r="AA44" s="75">
        <f t="shared" si="21"/>
        <v>15.126050420168067</v>
      </c>
      <c r="AB44" s="75">
        <f t="shared" si="21"/>
        <v>7.5630252100840334</v>
      </c>
      <c r="AC44" s="75">
        <f t="shared" si="21"/>
        <v>7.5630252100840334</v>
      </c>
      <c r="AD44" s="76">
        <f t="shared" si="21"/>
        <v>2.5210084033613445</v>
      </c>
      <c r="AE44" s="77">
        <f t="shared" si="21"/>
        <v>0</v>
      </c>
    </row>
    <row r="45" spans="1:31" ht="12.75" customHeight="1" x14ac:dyDescent="0.2">
      <c r="A45" s="269" t="str">
        <f>A25</f>
        <v>18～19歳(n = 21 )　　</v>
      </c>
      <c r="B45" s="113">
        <f t="shared" ref="B45:B58" si="22">B25</f>
        <v>21</v>
      </c>
      <c r="C45" s="129">
        <v>11</v>
      </c>
      <c r="D45" s="130">
        <v>17</v>
      </c>
      <c r="E45" s="130">
        <v>3</v>
      </c>
      <c r="F45" s="130">
        <v>11</v>
      </c>
      <c r="G45" s="130">
        <v>15</v>
      </c>
      <c r="H45" s="130">
        <v>0</v>
      </c>
      <c r="I45" s="130">
        <v>2</v>
      </c>
      <c r="J45" s="130">
        <v>3</v>
      </c>
      <c r="K45" s="130">
        <v>1</v>
      </c>
      <c r="L45" s="130">
        <v>0</v>
      </c>
      <c r="M45" s="130">
        <v>0</v>
      </c>
      <c r="N45" s="130">
        <v>1</v>
      </c>
      <c r="O45" s="140">
        <v>0</v>
      </c>
      <c r="P45" s="131"/>
      <c r="Q45" s="166"/>
      <c r="R45" s="95" t="str">
        <f>A49</f>
        <v>30～39歳(n = 196 )　　</v>
      </c>
      <c r="S45" s="88">
        <f>C50</f>
        <v>59.183673469387756</v>
      </c>
      <c r="T45" s="89">
        <f t="shared" ref="T45:AE45" si="23">D50</f>
        <v>86.224489795918373</v>
      </c>
      <c r="U45" s="89">
        <f t="shared" si="23"/>
        <v>19.387755102040817</v>
      </c>
      <c r="V45" s="89">
        <f t="shared" si="23"/>
        <v>34.693877551020407</v>
      </c>
      <c r="W45" s="89">
        <f t="shared" si="23"/>
        <v>56.632653061224488</v>
      </c>
      <c r="X45" s="89">
        <f t="shared" si="23"/>
        <v>12.755102040816327</v>
      </c>
      <c r="Y45" s="90">
        <f t="shared" si="23"/>
        <v>17.857142857142858</v>
      </c>
      <c r="Z45" s="109">
        <f t="shared" si="23"/>
        <v>11.73469387755102</v>
      </c>
      <c r="AA45" s="89">
        <f t="shared" si="23"/>
        <v>20.408163265306122</v>
      </c>
      <c r="AB45" s="89">
        <f t="shared" si="23"/>
        <v>6.6326530612244898</v>
      </c>
      <c r="AC45" s="89">
        <f t="shared" si="23"/>
        <v>9.183673469387756</v>
      </c>
      <c r="AD45" s="90">
        <f t="shared" si="23"/>
        <v>3.0612244897959182</v>
      </c>
      <c r="AE45" s="91">
        <f t="shared" si="23"/>
        <v>0.51020408163265307</v>
      </c>
    </row>
    <row r="46" spans="1:31" ht="12.75" customHeight="1" x14ac:dyDescent="0.2">
      <c r="A46" s="270"/>
      <c r="B46" s="114">
        <f t="shared" si="22"/>
        <v>1.2995049504950495</v>
      </c>
      <c r="C46" s="125">
        <v>52.380952380952387</v>
      </c>
      <c r="D46" s="126">
        <v>80.952380952380949</v>
      </c>
      <c r="E46" s="126">
        <v>14.285714285714285</v>
      </c>
      <c r="F46" s="126">
        <v>52.380952380952387</v>
      </c>
      <c r="G46" s="126">
        <v>71.428571428571431</v>
      </c>
      <c r="H46" s="126">
        <v>0</v>
      </c>
      <c r="I46" s="126">
        <v>9.5238095238095237</v>
      </c>
      <c r="J46" s="126">
        <v>14.285714285714285</v>
      </c>
      <c r="K46" s="126">
        <v>4.7619047619047619</v>
      </c>
      <c r="L46" s="126">
        <v>0</v>
      </c>
      <c r="M46" s="126">
        <v>0</v>
      </c>
      <c r="N46" s="126">
        <v>4.7619047619047619</v>
      </c>
      <c r="O46" s="127">
        <v>0</v>
      </c>
      <c r="P46" s="128"/>
      <c r="R46" s="95" t="str">
        <f>A51</f>
        <v>40～49歳(n = 281 )　　</v>
      </c>
      <c r="S46" s="88">
        <f>C52</f>
        <v>66.548042704626326</v>
      </c>
      <c r="T46" s="89">
        <f t="shared" ref="T46:AE46" si="24">D52</f>
        <v>84.341637010676152</v>
      </c>
      <c r="U46" s="89">
        <f t="shared" si="24"/>
        <v>37.010676156583628</v>
      </c>
      <c r="V46" s="89">
        <f t="shared" si="24"/>
        <v>28.825622775800714</v>
      </c>
      <c r="W46" s="89">
        <f t="shared" si="24"/>
        <v>34.519572953736656</v>
      </c>
      <c r="X46" s="89">
        <f t="shared" si="24"/>
        <v>20.284697508896798</v>
      </c>
      <c r="Y46" s="90">
        <f t="shared" si="24"/>
        <v>24.911032028469752</v>
      </c>
      <c r="Z46" s="109">
        <f t="shared" si="24"/>
        <v>17.793594306049823</v>
      </c>
      <c r="AA46" s="89">
        <f t="shared" si="24"/>
        <v>20.640569395017792</v>
      </c>
      <c r="AB46" s="89">
        <f t="shared" si="24"/>
        <v>7.8291814946619214</v>
      </c>
      <c r="AC46" s="89">
        <f t="shared" si="24"/>
        <v>7.4733096085409247</v>
      </c>
      <c r="AD46" s="90">
        <f t="shared" si="24"/>
        <v>4.6263345195729535</v>
      </c>
      <c r="AE46" s="91">
        <f t="shared" si="24"/>
        <v>0.35587188612099641</v>
      </c>
    </row>
    <row r="47" spans="1:31" ht="12.75" customHeight="1" x14ac:dyDescent="0.2">
      <c r="A47" s="269" t="str">
        <f>A27</f>
        <v>20～29歳(n = 119 )　　</v>
      </c>
      <c r="B47" s="113">
        <f t="shared" si="22"/>
        <v>119</v>
      </c>
      <c r="C47" s="129">
        <v>71</v>
      </c>
      <c r="D47" s="130">
        <v>95</v>
      </c>
      <c r="E47" s="130">
        <v>18</v>
      </c>
      <c r="F47" s="130">
        <v>45</v>
      </c>
      <c r="G47" s="130">
        <v>89</v>
      </c>
      <c r="H47" s="130">
        <v>5</v>
      </c>
      <c r="I47" s="130">
        <v>8</v>
      </c>
      <c r="J47" s="130">
        <v>14</v>
      </c>
      <c r="K47" s="130">
        <v>18</v>
      </c>
      <c r="L47" s="130">
        <v>9</v>
      </c>
      <c r="M47" s="130">
        <v>9</v>
      </c>
      <c r="N47" s="130">
        <v>3</v>
      </c>
      <c r="O47" s="140">
        <v>0</v>
      </c>
      <c r="P47" s="131"/>
      <c r="R47" s="95" t="str">
        <f>A53</f>
        <v>50～59歳(n = 320 )　　</v>
      </c>
      <c r="S47" s="88">
        <f>C54</f>
        <v>77.1875</v>
      </c>
      <c r="T47" s="89">
        <f t="shared" ref="T47:AE47" si="25">D54</f>
        <v>77.1875</v>
      </c>
      <c r="U47" s="89">
        <f t="shared" si="25"/>
        <v>55.937499999999993</v>
      </c>
      <c r="V47" s="89">
        <f t="shared" si="25"/>
        <v>30.312499999999996</v>
      </c>
      <c r="W47" s="89">
        <f t="shared" si="25"/>
        <v>21.25</v>
      </c>
      <c r="X47" s="89">
        <f t="shared" si="25"/>
        <v>19.0625</v>
      </c>
      <c r="Y47" s="90">
        <f t="shared" si="25"/>
        <v>24.375</v>
      </c>
      <c r="Z47" s="109">
        <f t="shared" si="25"/>
        <v>18.125</v>
      </c>
      <c r="AA47" s="89">
        <f t="shared" si="25"/>
        <v>15.625</v>
      </c>
      <c r="AB47" s="89">
        <f t="shared" si="25"/>
        <v>17.1875</v>
      </c>
      <c r="AC47" s="89">
        <f t="shared" si="25"/>
        <v>7.8125</v>
      </c>
      <c r="AD47" s="90">
        <f t="shared" si="25"/>
        <v>4.6875</v>
      </c>
      <c r="AE47" s="91">
        <f t="shared" si="25"/>
        <v>0.9375</v>
      </c>
    </row>
    <row r="48" spans="1:31" ht="12.75" customHeight="1" x14ac:dyDescent="0.2">
      <c r="A48" s="270"/>
      <c r="B48" s="114">
        <f t="shared" si="22"/>
        <v>7.3638613861386135</v>
      </c>
      <c r="C48" s="125">
        <v>59.663865546218489</v>
      </c>
      <c r="D48" s="126">
        <v>79.831932773109244</v>
      </c>
      <c r="E48" s="126">
        <v>15.126050420168067</v>
      </c>
      <c r="F48" s="126">
        <v>37.815126050420169</v>
      </c>
      <c r="G48" s="126">
        <v>74.789915966386559</v>
      </c>
      <c r="H48" s="126">
        <v>4.2016806722689077</v>
      </c>
      <c r="I48" s="126">
        <v>6.7226890756302522</v>
      </c>
      <c r="J48" s="126">
        <v>11.76470588235294</v>
      </c>
      <c r="K48" s="126">
        <v>15.126050420168067</v>
      </c>
      <c r="L48" s="126">
        <v>7.5630252100840334</v>
      </c>
      <c r="M48" s="126">
        <v>7.5630252100840334</v>
      </c>
      <c r="N48" s="126">
        <v>2.5210084033613445</v>
      </c>
      <c r="O48" s="127">
        <v>0</v>
      </c>
      <c r="P48" s="128"/>
      <c r="R48" s="95" t="str">
        <f>A55</f>
        <v>60～69歳(n = 352 )　　</v>
      </c>
      <c r="S48" s="88">
        <f>C56</f>
        <v>76.420454545454547</v>
      </c>
      <c r="T48" s="89">
        <f t="shared" ref="T48:AE48" si="26">D56</f>
        <v>61.647727272727273</v>
      </c>
      <c r="U48" s="89">
        <f t="shared" si="26"/>
        <v>70.170454545454547</v>
      </c>
      <c r="V48" s="89">
        <f t="shared" si="26"/>
        <v>29.829545454545453</v>
      </c>
      <c r="W48" s="89">
        <f t="shared" si="26"/>
        <v>10.227272727272728</v>
      </c>
      <c r="X48" s="89">
        <f t="shared" si="26"/>
        <v>33.238636363636367</v>
      </c>
      <c r="Y48" s="90">
        <f t="shared" si="26"/>
        <v>30.681818181818183</v>
      </c>
      <c r="Z48" s="109">
        <f t="shared" si="26"/>
        <v>17.045454545454543</v>
      </c>
      <c r="AA48" s="89">
        <f t="shared" si="26"/>
        <v>11.079545454545455</v>
      </c>
      <c r="AB48" s="89">
        <f t="shared" si="26"/>
        <v>15.625</v>
      </c>
      <c r="AC48" s="89">
        <f t="shared" si="26"/>
        <v>12.5</v>
      </c>
      <c r="AD48" s="90">
        <f t="shared" si="26"/>
        <v>3.4090909090909087</v>
      </c>
      <c r="AE48" s="91">
        <f t="shared" si="26"/>
        <v>0</v>
      </c>
    </row>
    <row r="49" spans="1:31" ht="13.5" customHeight="1" x14ac:dyDescent="0.2">
      <c r="A49" s="269" t="str">
        <f>A29</f>
        <v>30～39歳(n = 196 )　　</v>
      </c>
      <c r="B49" s="113">
        <f t="shared" si="22"/>
        <v>196</v>
      </c>
      <c r="C49" s="129">
        <v>116</v>
      </c>
      <c r="D49" s="130">
        <v>169</v>
      </c>
      <c r="E49" s="130">
        <v>38</v>
      </c>
      <c r="F49" s="130">
        <v>68</v>
      </c>
      <c r="G49" s="130">
        <v>111</v>
      </c>
      <c r="H49" s="130">
        <v>25</v>
      </c>
      <c r="I49" s="130">
        <v>35</v>
      </c>
      <c r="J49" s="130">
        <v>23</v>
      </c>
      <c r="K49" s="130">
        <v>40</v>
      </c>
      <c r="L49" s="130">
        <v>13</v>
      </c>
      <c r="M49" s="130">
        <v>18</v>
      </c>
      <c r="N49" s="130">
        <v>6</v>
      </c>
      <c r="O49" s="140">
        <v>1</v>
      </c>
      <c r="P49" s="131"/>
      <c r="R49" s="94" t="str">
        <f>A57</f>
        <v>70歳以上(n = 315 )　　</v>
      </c>
      <c r="S49" s="78">
        <f>C58</f>
        <v>76.19047619047619</v>
      </c>
      <c r="T49" s="79">
        <f t="shared" ref="T49:AE49" si="27">D58</f>
        <v>25.396825396825395</v>
      </c>
      <c r="U49" s="79">
        <f t="shared" si="27"/>
        <v>83.80952380952381</v>
      </c>
      <c r="V49" s="79">
        <f t="shared" si="27"/>
        <v>31.111111111111111</v>
      </c>
      <c r="W49" s="79">
        <f t="shared" si="27"/>
        <v>2.5396825396825395</v>
      </c>
      <c r="X49" s="79">
        <f t="shared" si="27"/>
        <v>46.666666666666664</v>
      </c>
      <c r="Y49" s="80">
        <f t="shared" si="27"/>
        <v>31.746031746031743</v>
      </c>
      <c r="Z49" s="107">
        <f t="shared" si="27"/>
        <v>24.444444444444443</v>
      </c>
      <c r="AA49" s="79">
        <f t="shared" si="27"/>
        <v>16.507936507936506</v>
      </c>
      <c r="AB49" s="79">
        <f t="shared" si="27"/>
        <v>21.587301587301589</v>
      </c>
      <c r="AC49" s="79">
        <f t="shared" si="27"/>
        <v>11.111111111111111</v>
      </c>
      <c r="AD49" s="80">
        <f t="shared" si="27"/>
        <v>0.95238095238095244</v>
      </c>
      <c r="AE49" s="81">
        <f t="shared" si="27"/>
        <v>1.9047619047619049</v>
      </c>
    </row>
    <row r="50" spans="1:31" x14ac:dyDescent="0.2">
      <c r="A50" s="270"/>
      <c r="B50" s="114">
        <f t="shared" si="22"/>
        <v>12.128712871287128</v>
      </c>
      <c r="C50" s="125">
        <v>59.183673469387756</v>
      </c>
      <c r="D50" s="126">
        <v>86.224489795918373</v>
      </c>
      <c r="E50" s="126">
        <v>19.387755102040817</v>
      </c>
      <c r="F50" s="126">
        <v>34.693877551020407</v>
      </c>
      <c r="G50" s="126">
        <v>56.632653061224488</v>
      </c>
      <c r="H50" s="126">
        <v>12.755102040816327</v>
      </c>
      <c r="I50" s="126">
        <v>17.857142857142858</v>
      </c>
      <c r="J50" s="126">
        <v>11.73469387755102</v>
      </c>
      <c r="K50" s="126">
        <v>20.408163265306122</v>
      </c>
      <c r="L50" s="126">
        <v>6.6326530612244898</v>
      </c>
      <c r="M50" s="126">
        <v>9.183673469387756</v>
      </c>
      <c r="N50" s="126">
        <v>3.0612244897959182</v>
      </c>
      <c r="O50" s="127">
        <v>0.51020408163265307</v>
      </c>
      <c r="P50" s="128"/>
    </row>
    <row r="51" spans="1:31" x14ac:dyDescent="0.2">
      <c r="A51" s="269" t="str">
        <f>A31</f>
        <v>40～49歳(n = 281 )　　</v>
      </c>
      <c r="B51" s="113">
        <f t="shared" si="22"/>
        <v>281</v>
      </c>
      <c r="C51" s="129">
        <v>187</v>
      </c>
      <c r="D51" s="130">
        <v>237</v>
      </c>
      <c r="E51" s="130">
        <v>104</v>
      </c>
      <c r="F51" s="130">
        <v>81</v>
      </c>
      <c r="G51" s="130">
        <v>97</v>
      </c>
      <c r="H51" s="130">
        <v>57</v>
      </c>
      <c r="I51" s="130">
        <v>70</v>
      </c>
      <c r="J51" s="130">
        <v>50</v>
      </c>
      <c r="K51" s="130">
        <v>58</v>
      </c>
      <c r="L51" s="130">
        <v>22</v>
      </c>
      <c r="M51" s="130">
        <v>21</v>
      </c>
      <c r="N51" s="130">
        <v>13</v>
      </c>
      <c r="O51" s="140">
        <v>1</v>
      </c>
      <c r="P51" s="131"/>
    </row>
    <row r="52" spans="1:31" x14ac:dyDescent="0.2">
      <c r="A52" s="270"/>
      <c r="B52" s="114">
        <f t="shared" si="22"/>
        <v>17.388613861386137</v>
      </c>
      <c r="C52" s="125">
        <v>66.548042704626326</v>
      </c>
      <c r="D52" s="126">
        <v>84.341637010676152</v>
      </c>
      <c r="E52" s="126">
        <v>37.010676156583628</v>
      </c>
      <c r="F52" s="126">
        <v>28.825622775800714</v>
      </c>
      <c r="G52" s="126">
        <v>34.519572953736656</v>
      </c>
      <c r="H52" s="126">
        <v>20.284697508896798</v>
      </c>
      <c r="I52" s="126">
        <v>24.911032028469752</v>
      </c>
      <c r="J52" s="126">
        <v>17.793594306049823</v>
      </c>
      <c r="K52" s="126">
        <v>20.640569395017792</v>
      </c>
      <c r="L52" s="126">
        <v>7.8291814946619214</v>
      </c>
      <c r="M52" s="126">
        <v>7.4733096085409247</v>
      </c>
      <c r="N52" s="126">
        <v>4.6263345195729535</v>
      </c>
      <c r="O52" s="127">
        <v>0.35587188612099641</v>
      </c>
      <c r="P52" s="128"/>
    </row>
    <row r="53" spans="1:31" x14ac:dyDescent="0.2">
      <c r="A53" s="269" t="str">
        <f>A33</f>
        <v>50～59歳(n = 320 )　　</v>
      </c>
      <c r="B53" s="113">
        <f t="shared" si="22"/>
        <v>320</v>
      </c>
      <c r="C53" s="129">
        <v>247</v>
      </c>
      <c r="D53" s="130">
        <v>247</v>
      </c>
      <c r="E53" s="130">
        <v>179</v>
      </c>
      <c r="F53" s="130">
        <v>97</v>
      </c>
      <c r="G53" s="130">
        <v>68</v>
      </c>
      <c r="H53" s="130">
        <v>61</v>
      </c>
      <c r="I53" s="130">
        <v>78</v>
      </c>
      <c r="J53" s="130">
        <v>58</v>
      </c>
      <c r="K53" s="130">
        <v>50</v>
      </c>
      <c r="L53" s="130">
        <v>55</v>
      </c>
      <c r="M53" s="130">
        <v>25</v>
      </c>
      <c r="N53" s="130">
        <v>15</v>
      </c>
      <c r="O53" s="140">
        <v>3</v>
      </c>
      <c r="P53" s="131"/>
    </row>
    <row r="54" spans="1:31" x14ac:dyDescent="0.2">
      <c r="A54" s="270"/>
      <c r="B54" s="114">
        <f t="shared" si="22"/>
        <v>19.801980198019802</v>
      </c>
      <c r="C54" s="125">
        <v>77.1875</v>
      </c>
      <c r="D54" s="126">
        <v>77.1875</v>
      </c>
      <c r="E54" s="126">
        <v>55.937499999999993</v>
      </c>
      <c r="F54" s="126">
        <v>30.312499999999996</v>
      </c>
      <c r="G54" s="126">
        <v>21.25</v>
      </c>
      <c r="H54" s="126">
        <v>19.0625</v>
      </c>
      <c r="I54" s="126">
        <v>24.375</v>
      </c>
      <c r="J54" s="126">
        <v>18.125</v>
      </c>
      <c r="K54" s="126">
        <v>15.625</v>
      </c>
      <c r="L54" s="126">
        <v>17.1875</v>
      </c>
      <c r="M54" s="126">
        <v>7.8125</v>
      </c>
      <c r="N54" s="126">
        <v>4.6875</v>
      </c>
      <c r="O54" s="127">
        <v>0.9375</v>
      </c>
      <c r="P54" s="128"/>
    </row>
    <row r="55" spans="1:31" x14ac:dyDescent="0.2">
      <c r="A55" s="269" t="str">
        <f>A35</f>
        <v>60～69歳(n = 352 )　　</v>
      </c>
      <c r="B55" s="113">
        <f t="shared" si="22"/>
        <v>352</v>
      </c>
      <c r="C55" s="129">
        <v>269</v>
      </c>
      <c r="D55" s="130">
        <v>217</v>
      </c>
      <c r="E55" s="130">
        <v>247</v>
      </c>
      <c r="F55" s="130">
        <v>105</v>
      </c>
      <c r="G55" s="130">
        <v>36</v>
      </c>
      <c r="H55" s="130">
        <v>117</v>
      </c>
      <c r="I55" s="130">
        <v>108</v>
      </c>
      <c r="J55" s="130">
        <v>60</v>
      </c>
      <c r="K55" s="130">
        <v>39</v>
      </c>
      <c r="L55" s="130">
        <v>55</v>
      </c>
      <c r="M55" s="130">
        <v>44</v>
      </c>
      <c r="N55" s="130">
        <v>12</v>
      </c>
      <c r="O55" s="140">
        <v>0</v>
      </c>
      <c r="P55" s="131"/>
    </row>
    <row r="56" spans="1:31" x14ac:dyDescent="0.2">
      <c r="A56" s="270"/>
      <c r="B56" s="114">
        <f t="shared" si="22"/>
        <v>21.782178217821784</v>
      </c>
      <c r="C56" s="125">
        <v>76.420454545454547</v>
      </c>
      <c r="D56" s="126">
        <v>61.647727272727273</v>
      </c>
      <c r="E56" s="126">
        <v>70.170454545454547</v>
      </c>
      <c r="F56" s="126">
        <v>29.829545454545453</v>
      </c>
      <c r="G56" s="126">
        <v>10.227272727272728</v>
      </c>
      <c r="H56" s="126">
        <v>33.238636363636367</v>
      </c>
      <c r="I56" s="126">
        <v>30.681818181818183</v>
      </c>
      <c r="J56" s="126">
        <v>17.045454545454543</v>
      </c>
      <c r="K56" s="126">
        <v>11.079545454545455</v>
      </c>
      <c r="L56" s="126">
        <v>15.625</v>
      </c>
      <c r="M56" s="126">
        <v>12.5</v>
      </c>
      <c r="N56" s="126">
        <v>3.4090909090909087</v>
      </c>
      <c r="O56" s="127">
        <v>0</v>
      </c>
      <c r="P56" s="128"/>
    </row>
    <row r="57" spans="1:31" x14ac:dyDescent="0.2">
      <c r="A57" s="269" t="str">
        <f>A37</f>
        <v>70歳以上(n = 315 )　　</v>
      </c>
      <c r="B57" s="113">
        <f t="shared" si="22"/>
        <v>315</v>
      </c>
      <c r="C57" s="129">
        <v>240</v>
      </c>
      <c r="D57" s="130">
        <v>80</v>
      </c>
      <c r="E57" s="130">
        <v>264</v>
      </c>
      <c r="F57" s="130">
        <v>98</v>
      </c>
      <c r="G57" s="130">
        <v>8</v>
      </c>
      <c r="H57" s="130">
        <v>147</v>
      </c>
      <c r="I57" s="130">
        <v>100</v>
      </c>
      <c r="J57" s="130">
        <v>77</v>
      </c>
      <c r="K57" s="130">
        <v>52</v>
      </c>
      <c r="L57" s="130">
        <v>68</v>
      </c>
      <c r="M57" s="130">
        <v>35</v>
      </c>
      <c r="N57" s="130">
        <v>3</v>
      </c>
      <c r="O57" s="140">
        <v>6</v>
      </c>
      <c r="P57" s="131"/>
    </row>
    <row r="58" spans="1:31" x14ac:dyDescent="0.2">
      <c r="A58" s="270"/>
      <c r="B58" s="114">
        <f t="shared" si="22"/>
        <v>19.492574257425744</v>
      </c>
      <c r="C58" s="125">
        <v>76.19047619047619</v>
      </c>
      <c r="D58" s="126">
        <v>25.396825396825395</v>
      </c>
      <c r="E58" s="126">
        <v>83.80952380952381</v>
      </c>
      <c r="F58" s="126">
        <v>31.111111111111111</v>
      </c>
      <c r="G58" s="126">
        <v>2.5396825396825395</v>
      </c>
      <c r="H58" s="126">
        <v>46.666666666666664</v>
      </c>
      <c r="I58" s="126">
        <v>31.746031746031743</v>
      </c>
      <c r="J58" s="126">
        <v>24.444444444444443</v>
      </c>
      <c r="K58" s="126">
        <v>16.507936507936506</v>
      </c>
      <c r="L58" s="126">
        <v>21.587301587301589</v>
      </c>
      <c r="M58" s="126">
        <v>11.111111111111111</v>
      </c>
      <c r="N58" s="126">
        <v>0.95238095238095244</v>
      </c>
      <c r="O58" s="127">
        <v>1.9047619047619049</v>
      </c>
      <c r="P58" s="128"/>
    </row>
    <row r="60" spans="1:31" x14ac:dyDescent="0.2">
      <c r="A60" s="8"/>
      <c r="B60" s="8"/>
      <c r="C60" s="8"/>
      <c r="D60" s="9"/>
      <c r="E60" s="8"/>
      <c r="F60" s="8"/>
      <c r="G60" s="8"/>
      <c r="H60" s="9" t="s">
        <v>19</v>
      </c>
      <c r="I60" s="8"/>
      <c r="J60" s="8"/>
      <c r="K60" s="8"/>
      <c r="L60" s="8"/>
      <c r="M60" s="8"/>
      <c r="N60" s="8"/>
      <c r="O60" s="8"/>
      <c r="P60" s="8"/>
    </row>
    <row r="61" spans="1:31" x14ac:dyDescent="0.2">
      <c r="A61" s="3" t="s">
        <v>159</v>
      </c>
      <c r="B61" s="1" t="str">
        <f>B1</f>
        <v>生活に必要な情報の入手媒体</v>
      </c>
      <c r="C61" s="8"/>
      <c r="D61" s="9"/>
      <c r="E61" s="8"/>
      <c r="F61" s="8"/>
      <c r="G61" s="8"/>
      <c r="H61" s="9" t="s">
        <v>1</v>
      </c>
      <c r="I61" s="8"/>
      <c r="J61" s="8"/>
      <c r="K61" s="8"/>
      <c r="L61" s="8"/>
      <c r="M61" s="8"/>
      <c r="N61" s="8"/>
      <c r="O61" s="8"/>
      <c r="P61" s="8"/>
    </row>
    <row r="62" spans="1:31" ht="101.25" customHeight="1" x14ac:dyDescent="0.2">
      <c r="A62" s="13" t="s">
        <v>27</v>
      </c>
      <c r="B62" s="59" t="str">
        <f t="shared" ref="B62:O62" si="28">B22</f>
        <v>調査数</v>
      </c>
      <c r="C62" s="60" t="str">
        <f t="shared" si="28"/>
        <v>テレビ（データ放送を除く）</v>
      </c>
      <c r="D62" s="61" t="str">
        <f t="shared" si="28"/>
        <v>テレビのデータ放送</v>
      </c>
      <c r="E62" s="61" t="str">
        <f t="shared" si="28"/>
        <v>ラジオ</v>
      </c>
      <c r="F62" s="61" t="str">
        <f t="shared" si="28"/>
        <v>インターネット（行政機関のホームページを除く）</v>
      </c>
      <c r="G62" s="61" t="str">
        <f t="shared" si="28"/>
        <v>　　　フェイスブック、ツイッターなどのSNS
（ソーシャル・ネットワーキング・サービス）</v>
      </c>
      <c r="H62" s="61" t="str">
        <f t="shared" si="28"/>
        <v>メールマガジン</v>
      </c>
      <c r="I62" s="61" t="str">
        <f t="shared" si="28"/>
        <v>新聞</v>
      </c>
      <c r="J62" s="61" t="str">
        <f t="shared" si="28"/>
        <v>雑誌</v>
      </c>
      <c r="K62" s="61" t="str">
        <f t="shared" si="28"/>
        <v>　　　　　　　　　　　　　　　　フリーペーパー
（戸別配布される無料の地域情報誌など）</v>
      </c>
      <c r="L62" s="61" t="str">
        <f t="shared" si="28"/>
        <v>国、県、市町村の広報紙やホームページ</v>
      </c>
      <c r="M62" s="61" t="str">
        <f t="shared" si="28"/>
        <v>自治会の連絡網、回覧板など</v>
      </c>
      <c r="N62" s="62" t="str">
        <f t="shared" si="28"/>
        <v>友人、知人からのクチコミ</v>
      </c>
      <c r="O62" s="62" t="str">
        <f t="shared" si="28"/>
        <v>その他</v>
      </c>
      <c r="P62" s="63"/>
      <c r="Q62" s="103" t="s">
        <v>118</v>
      </c>
      <c r="R62" s="202"/>
    </row>
    <row r="63" spans="1:31" ht="13.5" customHeight="1" x14ac:dyDescent="0.2">
      <c r="A63" s="269" t="str">
        <f>'問2S（表）'!A52</f>
        <v>全体(n = 1,616 )　　</v>
      </c>
      <c r="B63" s="34">
        <f>'問4M（表）'!B61</f>
        <v>1616</v>
      </c>
      <c r="C63" s="31">
        <f t="shared" ref="C63:O63" si="29">SUM(C65,C67,C69,C71,C73)</f>
        <v>1129</v>
      </c>
      <c r="D63" s="32">
        <f t="shared" si="29"/>
        <v>282</v>
      </c>
      <c r="E63" s="32">
        <f t="shared" si="29"/>
        <v>219</v>
      </c>
      <c r="F63" s="32">
        <f t="shared" si="29"/>
        <v>1051</v>
      </c>
      <c r="G63" s="32">
        <f t="shared" si="29"/>
        <v>422</v>
      </c>
      <c r="H63" s="32">
        <f t="shared" si="29"/>
        <v>53</v>
      </c>
      <c r="I63" s="32">
        <f t="shared" si="29"/>
        <v>844</v>
      </c>
      <c r="J63" s="32">
        <f t="shared" si="29"/>
        <v>153</v>
      </c>
      <c r="K63" s="32">
        <f t="shared" si="29"/>
        <v>255</v>
      </c>
      <c r="L63" s="32">
        <f t="shared" si="29"/>
        <v>397</v>
      </c>
      <c r="M63" s="32">
        <f t="shared" si="29"/>
        <v>408</v>
      </c>
      <c r="N63" s="32">
        <f t="shared" si="29"/>
        <v>498</v>
      </c>
      <c r="O63" s="32">
        <f t="shared" si="29"/>
        <v>11</v>
      </c>
      <c r="P63" s="33"/>
      <c r="Q63" s="104">
        <f>SUM($C63:P63)</f>
        <v>5722</v>
      </c>
      <c r="R63" s="166"/>
    </row>
    <row r="64" spans="1:31" x14ac:dyDescent="0.2">
      <c r="A64" s="270"/>
      <c r="B64" s="20">
        <f>B63/$B$63*100</f>
        <v>100</v>
      </c>
      <c r="C64" s="20">
        <f t="shared" ref="C64:O64" si="30">C63/$B63*100</f>
        <v>69.863861386138609</v>
      </c>
      <c r="D64" s="207">
        <f t="shared" si="30"/>
        <v>17.450495049504948</v>
      </c>
      <c r="E64" s="207">
        <f t="shared" si="30"/>
        <v>13.551980198019804</v>
      </c>
      <c r="F64" s="207">
        <f t="shared" si="30"/>
        <v>65.037128712871279</v>
      </c>
      <c r="G64" s="207">
        <f t="shared" si="30"/>
        <v>26.113861386138616</v>
      </c>
      <c r="H64" s="207">
        <f t="shared" si="30"/>
        <v>3.2797029702970297</v>
      </c>
      <c r="I64" s="207">
        <f t="shared" si="30"/>
        <v>52.227722772277232</v>
      </c>
      <c r="J64" s="207">
        <f t="shared" si="30"/>
        <v>9.467821782178218</v>
      </c>
      <c r="K64" s="207">
        <f t="shared" si="30"/>
        <v>15.779702970297031</v>
      </c>
      <c r="L64" s="207">
        <f t="shared" si="30"/>
        <v>24.566831683168317</v>
      </c>
      <c r="M64" s="207">
        <f t="shared" si="30"/>
        <v>25.247524752475247</v>
      </c>
      <c r="N64" s="207">
        <f t="shared" si="30"/>
        <v>30.816831683168317</v>
      </c>
      <c r="O64" s="207">
        <f t="shared" si="30"/>
        <v>0.68069306930693074</v>
      </c>
      <c r="P64" s="208"/>
      <c r="Q64" s="104"/>
    </row>
    <row r="65" spans="1:31" ht="13.5" customHeight="1" x14ac:dyDescent="0.2">
      <c r="A65" s="269" t="str">
        <f>'問2S（表）'!A54</f>
        <v>岐阜圏域(n = 617 )　　</v>
      </c>
      <c r="B65" s="34">
        <f>'問4M（表）'!B63</f>
        <v>617</v>
      </c>
      <c r="C65" s="31">
        <v>434</v>
      </c>
      <c r="D65" s="32">
        <v>106</v>
      </c>
      <c r="E65" s="32">
        <v>85</v>
      </c>
      <c r="F65" s="32">
        <v>422</v>
      </c>
      <c r="G65" s="32">
        <v>161</v>
      </c>
      <c r="H65" s="32">
        <v>18</v>
      </c>
      <c r="I65" s="32">
        <v>324</v>
      </c>
      <c r="J65" s="32">
        <v>70</v>
      </c>
      <c r="K65" s="32">
        <v>103</v>
      </c>
      <c r="L65" s="32">
        <v>155</v>
      </c>
      <c r="M65" s="32">
        <v>148</v>
      </c>
      <c r="N65" s="32">
        <v>186</v>
      </c>
      <c r="O65" s="32">
        <v>5</v>
      </c>
      <c r="P65" s="33"/>
      <c r="Q65" s="104">
        <f>SUM($C65:P65)</f>
        <v>2217</v>
      </c>
      <c r="R65" t="str">
        <f>" 岐阜圏域（N = "&amp;Q66&amp;" : n = "&amp;B65&amp;"）"</f>
        <v xml:space="preserve"> 岐阜圏域（N = 2,217 : n = 617）</v>
      </c>
    </row>
    <row r="66" spans="1:31" x14ac:dyDescent="0.2">
      <c r="A66" s="270"/>
      <c r="B66" s="20">
        <f>B65/$B$63*100</f>
        <v>38.180693069306933</v>
      </c>
      <c r="C66" s="20">
        <f t="shared" ref="C66:O66" si="31">C65/$B65*100</f>
        <v>70.340356564019444</v>
      </c>
      <c r="D66" s="207">
        <f t="shared" si="31"/>
        <v>17.179902755267424</v>
      </c>
      <c r="E66" s="207">
        <f t="shared" si="31"/>
        <v>13.776337115072934</v>
      </c>
      <c r="F66" s="207">
        <f t="shared" si="31"/>
        <v>68.395461912479732</v>
      </c>
      <c r="G66" s="207">
        <f t="shared" si="31"/>
        <v>26.094003241491087</v>
      </c>
      <c r="H66" s="207">
        <f t="shared" si="31"/>
        <v>2.9173419773095626</v>
      </c>
      <c r="I66" s="207">
        <f t="shared" si="31"/>
        <v>52.512155591572117</v>
      </c>
      <c r="J66" s="207">
        <f t="shared" si="31"/>
        <v>11.345218800648297</v>
      </c>
      <c r="K66" s="207">
        <f t="shared" si="31"/>
        <v>16.693679092382496</v>
      </c>
      <c r="L66" s="207">
        <f t="shared" si="31"/>
        <v>25.121555915721235</v>
      </c>
      <c r="M66" s="207">
        <f t="shared" si="31"/>
        <v>23.9870340356564</v>
      </c>
      <c r="N66" s="207">
        <f t="shared" si="31"/>
        <v>30.14586709886548</v>
      </c>
      <c r="O66" s="207">
        <f t="shared" si="31"/>
        <v>0.81037277147487841</v>
      </c>
      <c r="P66" s="208"/>
      <c r="Q66" s="204" t="s">
        <v>271</v>
      </c>
    </row>
    <row r="67" spans="1:31" ht="13.5" customHeight="1" x14ac:dyDescent="0.2">
      <c r="A67" s="269" t="str">
        <f>'問2S（表）'!A56</f>
        <v>西濃圏域(n = 290 )　　</v>
      </c>
      <c r="B67" s="34">
        <f>'問4M（表）'!B65</f>
        <v>290</v>
      </c>
      <c r="C67" s="31">
        <v>212</v>
      </c>
      <c r="D67" s="32">
        <v>49</v>
      </c>
      <c r="E67" s="32">
        <v>40</v>
      </c>
      <c r="F67" s="32">
        <v>192</v>
      </c>
      <c r="G67" s="32">
        <v>73</v>
      </c>
      <c r="H67" s="32">
        <v>10</v>
      </c>
      <c r="I67" s="32">
        <v>158</v>
      </c>
      <c r="J67" s="32">
        <v>26</v>
      </c>
      <c r="K67" s="32">
        <v>43</v>
      </c>
      <c r="L67" s="32">
        <v>72</v>
      </c>
      <c r="M67" s="32">
        <v>79</v>
      </c>
      <c r="N67" s="32">
        <v>93</v>
      </c>
      <c r="O67" s="32">
        <v>2</v>
      </c>
      <c r="P67" s="33"/>
      <c r="Q67" s="104">
        <f>SUM($C67:P67)</f>
        <v>1049</v>
      </c>
      <c r="R67" t="str">
        <f>" 西濃圏域（N = "&amp;Q68&amp;" : n = "&amp;B67&amp;"）"</f>
        <v xml:space="preserve"> 西濃圏域（N = 1,049 : n = 290）</v>
      </c>
    </row>
    <row r="68" spans="1:31" x14ac:dyDescent="0.2">
      <c r="A68" s="270"/>
      <c r="B68" s="20">
        <f>B67/$B$63*100</f>
        <v>17.945544554455445</v>
      </c>
      <c r="C68" s="20">
        <f t="shared" ref="C68:O68" si="32">C67/$B67*100</f>
        <v>73.103448275862064</v>
      </c>
      <c r="D68" s="207">
        <f t="shared" si="32"/>
        <v>16.896551724137932</v>
      </c>
      <c r="E68" s="207">
        <f t="shared" si="32"/>
        <v>13.793103448275861</v>
      </c>
      <c r="F68" s="207">
        <f t="shared" si="32"/>
        <v>66.206896551724142</v>
      </c>
      <c r="G68" s="207">
        <f t="shared" si="32"/>
        <v>25.172413793103448</v>
      </c>
      <c r="H68" s="207">
        <f t="shared" si="32"/>
        <v>3.4482758620689653</v>
      </c>
      <c r="I68" s="207">
        <f t="shared" si="32"/>
        <v>54.482758620689651</v>
      </c>
      <c r="J68" s="207">
        <f t="shared" si="32"/>
        <v>8.9655172413793096</v>
      </c>
      <c r="K68" s="207">
        <f t="shared" si="32"/>
        <v>14.827586206896552</v>
      </c>
      <c r="L68" s="207">
        <f t="shared" si="32"/>
        <v>24.827586206896552</v>
      </c>
      <c r="M68" s="207">
        <f t="shared" si="32"/>
        <v>27.241379310344826</v>
      </c>
      <c r="N68" s="207">
        <f t="shared" si="32"/>
        <v>32.068965517241374</v>
      </c>
      <c r="O68" s="207">
        <f t="shared" si="32"/>
        <v>0.68965517241379315</v>
      </c>
      <c r="P68" s="208"/>
      <c r="Q68" s="204" t="s">
        <v>272</v>
      </c>
    </row>
    <row r="69" spans="1:31" ht="13.5" customHeight="1" x14ac:dyDescent="0.2">
      <c r="A69" s="269" t="str">
        <f>'問2S（表）'!A58</f>
        <v>中濃圏域(n = 300 )　　</v>
      </c>
      <c r="B69" s="34">
        <f>'問4M（表）'!B67</f>
        <v>300</v>
      </c>
      <c r="C69" s="31">
        <v>215</v>
      </c>
      <c r="D69" s="32">
        <v>47</v>
      </c>
      <c r="E69" s="32">
        <v>34</v>
      </c>
      <c r="F69" s="32">
        <v>200</v>
      </c>
      <c r="G69" s="32">
        <v>91</v>
      </c>
      <c r="H69" s="32">
        <v>7</v>
      </c>
      <c r="I69" s="32">
        <v>157</v>
      </c>
      <c r="J69" s="32">
        <v>20</v>
      </c>
      <c r="K69" s="32">
        <v>47</v>
      </c>
      <c r="L69" s="32">
        <v>79</v>
      </c>
      <c r="M69" s="32">
        <v>90</v>
      </c>
      <c r="N69" s="32">
        <v>107</v>
      </c>
      <c r="O69" s="32">
        <v>2</v>
      </c>
      <c r="P69" s="33"/>
      <c r="Q69" s="104">
        <f>SUM($C69:P69)</f>
        <v>1096</v>
      </c>
      <c r="R69" t="str">
        <f>" 中濃圏域（N = "&amp;Q70&amp;" : n = "&amp;B69&amp;"）"</f>
        <v xml:space="preserve"> 中濃圏域（N = 1,096 : n = 300）</v>
      </c>
    </row>
    <row r="70" spans="1:31" x14ac:dyDescent="0.2">
      <c r="A70" s="270"/>
      <c r="B70" s="20">
        <f>B69/$B$63*100</f>
        <v>18.564356435643564</v>
      </c>
      <c r="C70" s="20">
        <f t="shared" ref="C70:O70" si="33">C69/$B69*100</f>
        <v>71.666666666666671</v>
      </c>
      <c r="D70" s="207">
        <f t="shared" si="33"/>
        <v>15.666666666666668</v>
      </c>
      <c r="E70" s="207">
        <f t="shared" si="33"/>
        <v>11.333333333333332</v>
      </c>
      <c r="F70" s="207">
        <f t="shared" si="33"/>
        <v>66.666666666666657</v>
      </c>
      <c r="G70" s="207">
        <f t="shared" si="33"/>
        <v>30.333333333333336</v>
      </c>
      <c r="H70" s="207">
        <f t="shared" si="33"/>
        <v>2.3333333333333335</v>
      </c>
      <c r="I70" s="207">
        <f t="shared" si="33"/>
        <v>52.333333333333329</v>
      </c>
      <c r="J70" s="207">
        <f t="shared" si="33"/>
        <v>6.666666666666667</v>
      </c>
      <c r="K70" s="207">
        <f t="shared" si="33"/>
        <v>15.666666666666668</v>
      </c>
      <c r="L70" s="207">
        <f t="shared" si="33"/>
        <v>26.333333333333332</v>
      </c>
      <c r="M70" s="207">
        <f t="shared" si="33"/>
        <v>30</v>
      </c>
      <c r="N70" s="207">
        <f t="shared" si="33"/>
        <v>35.666666666666671</v>
      </c>
      <c r="O70" s="207">
        <f t="shared" si="33"/>
        <v>0.66666666666666674</v>
      </c>
      <c r="P70" s="208"/>
      <c r="Q70" s="204" t="s">
        <v>273</v>
      </c>
    </row>
    <row r="71" spans="1:31" ht="13.5" customHeight="1" x14ac:dyDescent="0.2">
      <c r="A71" s="269" t="str">
        <f>'問2S（表）'!A60</f>
        <v>東濃圏域(n = 271 )　　</v>
      </c>
      <c r="B71" s="34">
        <f>'問4M（表）'!B69</f>
        <v>271</v>
      </c>
      <c r="C71" s="31">
        <v>189</v>
      </c>
      <c r="D71" s="32">
        <v>57</v>
      </c>
      <c r="E71" s="32">
        <v>43</v>
      </c>
      <c r="F71" s="32">
        <v>166</v>
      </c>
      <c r="G71" s="32">
        <v>71</v>
      </c>
      <c r="H71" s="32">
        <v>14</v>
      </c>
      <c r="I71" s="32">
        <v>149</v>
      </c>
      <c r="J71" s="32">
        <v>23</v>
      </c>
      <c r="K71" s="32">
        <v>39</v>
      </c>
      <c r="L71" s="32">
        <v>62</v>
      </c>
      <c r="M71" s="32">
        <v>67</v>
      </c>
      <c r="N71" s="32">
        <v>73</v>
      </c>
      <c r="O71" s="32">
        <v>1</v>
      </c>
      <c r="P71" s="33"/>
      <c r="Q71" s="104">
        <f>SUM($C71:P71)</f>
        <v>954</v>
      </c>
      <c r="R71" t="str">
        <f>" 東濃圏域（N = "&amp;Q71&amp;" : n = "&amp;B71&amp;"）"</f>
        <v xml:space="preserve"> 東濃圏域（N = 954 : n = 271）</v>
      </c>
    </row>
    <row r="72" spans="1:31" x14ac:dyDescent="0.2">
      <c r="A72" s="270"/>
      <c r="B72" s="20">
        <f>B71/$B$63*100</f>
        <v>16.769801980198022</v>
      </c>
      <c r="C72" s="20">
        <f t="shared" ref="C72:O72" si="34">C71/$B71*100</f>
        <v>69.741697416974162</v>
      </c>
      <c r="D72" s="207">
        <f t="shared" si="34"/>
        <v>21.033210332103323</v>
      </c>
      <c r="E72" s="207">
        <f t="shared" si="34"/>
        <v>15.867158671586715</v>
      </c>
      <c r="F72" s="207">
        <f t="shared" si="34"/>
        <v>61.254612546125465</v>
      </c>
      <c r="G72" s="207">
        <f t="shared" si="34"/>
        <v>26.199261992619927</v>
      </c>
      <c r="H72" s="207">
        <f t="shared" si="34"/>
        <v>5.1660516605166054</v>
      </c>
      <c r="I72" s="207">
        <f t="shared" si="34"/>
        <v>54.981549815498155</v>
      </c>
      <c r="J72" s="207">
        <f t="shared" si="34"/>
        <v>8.4870848708487081</v>
      </c>
      <c r="K72" s="207">
        <f t="shared" si="34"/>
        <v>14.391143911439114</v>
      </c>
      <c r="L72" s="207">
        <f t="shared" si="34"/>
        <v>22.878228782287824</v>
      </c>
      <c r="M72" s="207">
        <f t="shared" si="34"/>
        <v>24.723247232472325</v>
      </c>
      <c r="N72" s="207">
        <f t="shared" si="34"/>
        <v>26.937269372693727</v>
      </c>
      <c r="O72" s="207">
        <f t="shared" si="34"/>
        <v>0.36900369003690037</v>
      </c>
      <c r="P72" s="208"/>
      <c r="Q72" s="195"/>
    </row>
    <row r="73" spans="1:31" x14ac:dyDescent="0.2">
      <c r="A73" s="269" t="str">
        <f>'問2S（表）'!A62</f>
        <v>飛騨圏域(n = 106 )　　</v>
      </c>
      <c r="B73" s="34">
        <f>'問4M（表）'!B71</f>
        <v>106</v>
      </c>
      <c r="C73" s="31">
        <v>79</v>
      </c>
      <c r="D73" s="32">
        <v>23</v>
      </c>
      <c r="E73" s="32">
        <v>17</v>
      </c>
      <c r="F73" s="32">
        <v>71</v>
      </c>
      <c r="G73" s="32">
        <v>26</v>
      </c>
      <c r="H73" s="32">
        <v>4</v>
      </c>
      <c r="I73" s="32">
        <v>56</v>
      </c>
      <c r="J73" s="32">
        <v>14</v>
      </c>
      <c r="K73" s="32">
        <v>23</v>
      </c>
      <c r="L73" s="32">
        <v>29</v>
      </c>
      <c r="M73" s="32">
        <v>24</v>
      </c>
      <c r="N73" s="32">
        <v>39</v>
      </c>
      <c r="O73" s="32">
        <v>1</v>
      </c>
      <c r="P73" s="33"/>
      <c r="Q73" s="104">
        <f>SUM($C73:P73)</f>
        <v>406</v>
      </c>
      <c r="R73" t="str">
        <f>" 飛騨圏域（N = "&amp;Q73&amp;" : n = "&amp;B73&amp;"）"</f>
        <v xml:space="preserve"> 飛騨圏域（N = 406 : n = 106）</v>
      </c>
    </row>
    <row r="74" spans="1:31" x14ac:dyDescent="0.2">
      <c r="A74" s="270"/>
      <c r="B74" s="20">
        <f>B73/$B$63*100</f>
        <v>6.5594059405940595</v>
      </c>
      <c r="C74" s="20">
        <f t="shared" ref="C74:O74" si="35">C73/$B73*100</f>
        <v>74.528301886792448</v>
      </c>
      <c r="D74" s="207">
        <f t="shared" si="35"/>
        <v>21.69811320754717</v>
      </c>
      <c r="E74" s="207">
        <f t="shared" si="35"/>
        <v>16.037735849056602</v>
      </c>
      <c r="F74" s="207">
        <f t="shared" si="35"/>
        <v>66.981132075471692</v>
      </c>
      <c r="G74" s="207">
        <f t="shared" si="35"/>
        <v>24.528301886792452</v>
      </c>
      <c r="H74" s="207">
        <f t="shared" si="35"/>
        <v>3.7735849056603774</v>
      </c>
      <c r="I74" s="207">
        <f t="shared" si="35"/>
        <v>52.830188679245282</v>
      </c>
      <c r="J74" s="207">
        <f t="shared" si="35"/>
        <v>13.20754716981132</v>
      </c>
      <c r="K74" s="207">
        <f t="shared" si="35"/>
        <v>21.69811320754717</v>
      </c>
      <c r="L74" s="207">
        <f t="shared" si="35"/>
        <v>27.358490566037734</v>
      </c>
      <c r="M74" s="207">
        <f t="shared" si="35"/>
        <v>22.641509433962266</v>
      </c>
      <c r="N74" s="207">
        <f t="shared" si="35"/>
        <v>36.79245283018868</v>
      </c>
      <c r="O74" s="207">
        <f t="shared" si="35"/>
        <v>0.94339622641509435</v>
      </c>
      <c r="P74" s="208"/>
      <c r="Q74" s="195"/>
    </row>
    <row r="75" spans="1:31" s="186" customFormat="1" x14ac:dyDescent="0.2">
      <c r="A75" s="184"/>
      <c r="B75" s="182"/>
      <c r="C75" s="172">
        <f>_xlfn.RANK.EQ(C64,$C$64:$R$64,0)</f>
        <v>1</v>
      </c>
      <c r="D75" s="172">
        <f t="shared" ref="D75:P75" si="36">_xlfn.RANK.EQ(D64,$C$64:$R$64,0)</f>
        <v>8</v>
      </c>
      <c r="E75" s="172">
        <f t="shared" si="36"/>
        <v>10</v>
      </c>
      <c r="F75" s="172">
        <f t="shared" si="36"/>
        <v>2</v>
      </c>
      <c r="G75" s="172">
        <f t="shared" si="36"/>
        <v>5</v>
      </c>
      <c r="H75" s="172">
        <f t="shared" si="36"/>
        <v>12</v>
      </c>
      <c r="I75" s="172">
        <f t="shared" si="36"/>
        <v>3</v>
      </c>
      <c r="J75" s="172">
        <f t="shared" si="36"/>
        <v>11</v>
      </c>
      <c r="K75" s="172">
        <f t="shared" si="36"/>
        <v>9</v>
      </c>
      <c r="L75" s="172">
        <f t="shared" si="36"/>
        <v>7</v>
      </c>
      <c r="M75" s="172">
        <f t="shared" si="36"/>
        <v>6</v>
      </c>
      <c r="N75" s="172">
        <f t="shared" si="36"/>
        <v>4</v>
      </c>
      <c r="O75" s="172">
        <f t="shared" si="36"/>
        <v>13</v>
      </c>
      <c r="P75" s="172" t="e">
        <f t="shared" si="36"/>
        <v>#N/A</v>
      </c>
      <c r="Q75" s="185"/>
    </row>
    <row r="76" spans="1:31" x14ac:dyDescent="0.2">
      <c r="A76" s="26" t="s">
        <v>60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31" ht="12.75" customHeight="1" x14ac:dyDescent="0.2">
      <c r="A77" s="6" t="s">
        <v>4</v>
      </c>
      <c r="B77" s="4"/>
      <c r="C77" s="27">
        <v>1</v>
      </c>
      <c r="D77" s="27">
        <v>2</v>
      </c>
      <c r="E77" s="27">
        <v>3</v>
      </c>
      <c r="F77" s="27">
        <v>4</v>
      </c>
      <c r="G77" s="27">
        <v>5</v>
      </c>
      <c r="H77" s="27">
        <v>6</v>
      </c>
      <c r="I77" s="27">
        <v>7</v>
      </c>
      <c r="J77" s="27">
        <v>8</v>
      </c>
      <c r="K77" s="27">
        <v>9</v>
      </c>
      <c r="L77" s="27">
        <v>10</v>
      </c>
      <c r="M77" s="27">
        <v>11</v>
      </c>
      <c r="N77" s="27">
        <v>12</v>
      </c>
      <c r="O77" s="27">
        <v>13</v>
      </c>
      <c r="P77" s="27">
        <v>14</v>
      </c>
      <c r="R77" s="45"/>
      <c r="S77" s="27">
        <v>1</v>
      </c>
      <c r="T77" s="27">
        <v>2</v>
      </c>
      <c r="U77" s="27">
        <v>3</v>
      </c>
      <c r="V77" s="27">
        <v>4</v>
      </c>
      <c r="W77" s="27">
        <v>5</v>
      </c>
      <c r="X77" s="27">
        <v>6</v>
      </c>
      <c r="Y77" s="27">
        <v>7</v>
      </c>
      <c r="Z77" s="27">
        <v>8</v>
      </c>
      <c r="AA77" s="27">
        <v>9</v>
      </c>
      <c r="AB77" s="27">
        <v>10</v>
      </c>
      <c r="AC77" s="27">
        <v>11</v>
      </c>
      <c r="AD77" s="27">
        <v>12</v>
      </c>
      <c r="AE77" s="27">
        <v>13</v>
      </c>
    </row>
    <row r="78" spans="1:31" ht="101.25" customHeight="1" x14ac:dyDescent="0.2">
      <c r="A78" s="12" t="str">
        <f>A62</f>
        <v>【居住圏域別】</v>
      </c>
      <c r="B78" s="59" t="s">
        <v>157</v>
      </c>
      <c r="C78" s="60" t="s">
        <v>203</v>
      </c>
      <c r="D78" s="61" t="s">
        <v>215</v>
      </c>
      <c r="E78" s="61" t="s">
        <v>216</v>
      </c>
      <c r="F78" s="61" t="s">
        <v>217</v>
      </c>
      <c r="G78" s="61" t="s">
        <v>201</v>
      </c>
      <c r="H78" s="61" t="s">
        <v>219</v>
      </c>
      <c r="I78" s="61" t="s">
        <v>218</v>
      </c>
      <c r="J78" s="61" t="s">
        <v>202</v>
      </c>
      <c r="K78" s="61" t="s">
        <v>220</v>
      </c>
      <c r="L78" s="61" t="s">
        <v>177</v>
      </c>
      <c r="M78" s="61" t="s">
        <v>221</v>
      </c>
      <c r="N78" s="62" t="s">
        <v>178</v>
      </c>
      <c r="O78" s="62" t="s">
        <v>57</v>
      </c>
      <c r="P78" s="63"/>
      <c r="Q78" s="44" t="s">
        <v>32</v>
      </c>
      <c r="R78" s="12" t="str">
        <f>A78</f>
        <v>【居住圏域別】</v>
      </c>
      <c r="S78" s="60" t="str">
        <f>C78</f>
        <v>テレビ（データ放送を除く）</v>
      </c>
      <c r="T78" s="61" t="str">
        <f t="shared" ref="T78:AE78" si="37">D78</f>
        <v>インターネット（行政機関のホームページを除く）</v>
      </c>
      <c r="U78" s="61" t="str">
        <f t="shared" si="37"/>
        <v>新聞</v>
      </c>
      <c r="V78" s="61" t="str">
        <f t="shared" si="37"/>
        <v>友人、知人からのクチコミ</v>
      </c>
      <c r="W78" s="61" t="str">
        <f t="shared" si="37"/>
        <v>　　　フェイスブック、ツイッターなどのSNS
（ソーシャル・ネットワーキング・サービス）</v>
      </c>
      <c r="X78" s="61" t="str">
        <f t="shared" si="37"/>
        <v>自治会の連絡網、回覧板など</v>
      </c>
      <c r="Y78" s="62" t="str">
        <f t="shared" si="37"/>
        <v>国、県、市町村の広報紙やホームページ</v>
      </c>
      <c r="Z78" s="106" t="str">
        <f t="shared" si="37"/>
        <v>テレビのデータ放送</v>
      </c>
      <c r="AA78" s="61" t="str">
        <f t="shared" si="37"/>
        <v>　　　　　　　　　　　　　　　　フリーペーパー
（戸別配布される無料の地域情報誌など）</v>
      </c>
      <c r="AB78" s="61" t="str">
        <f t="shared" si="37"/>
        <v>ラジオ</v>
      </c>
      <c r="AC78" s="61" t="str">
        <f t="shared" si="37"/>
        <v>雑誌</v>
      </c>
      <c r="AD78" s="62" t="str">
        <f t="shared" si="37"/>
        <v>メールマガジン</v>
      </c>
      <c r="AE78" s="63" t="str">
        <f t="shared" si="37"/>
        <v>その他</v>
      </c>
    </row>
    <row r="79" spans="1:31" ht="12.75" customHeight="1" x14ac:dyDescent="0.2">
      <c r="A79" s="269" t="str">
        <f>A63</f>
        <v>全体(n = 1,616 )　　</v>
      </c>
      <c r="B79" s="113">
        <f>B63</f>
        <v>1616</v>
      </c>
      <c r="C79" s="121">
        <v>1129</v>
      </c>
      <c r="D79" s="122">
        <v>1051</v>
      </c>
      <c r="E79" s="122">
        <v>844</v>
      </c>
      <c r="F79" s="122">
        <v>498</v>
      </c>
      <c r="G79" s="122">
        <v>422</v>
      </c>
      <c r="H79" s="122">
        <v>408</v>
      </c>
      <c r="I79" s="122">
        <v>397</v>
      </c>
      <c r="J79" s="122">
        <v>282</v>
      </c>
      <c r="K79" s="122">
        <v>255</v>
      </c>
      <c r="L79" s="122">
        <v>219</v>
      </c>
      <c r="M79" s="122">
        <v>153</v>
      </c>
      <c r="N79" s="123">
        <v>53</v>
      </c>
      <c r="O79" s="123">
        <v>11</v>
      </c>
      <c r="P79" s="124"/>
      <c r="R79" s="93" t="str">
        <f>A81</f>
        <v>岐阜圏域(n = 617 )　　</v>
      </c>
      <c r="S79" s="84">
        <f>C82</f>
        <v>70.340356564019444</v>
      </c>
      <c r="T79" s="85">
        <f t="shared" ref="T79:AE79" si="38">D82</f>
        <v>68.395461912479732</v>
      </c>
      <c r="U79" s="85">
        <f t="shared" si="38"/>
        <v>52.512155591572117</v>
      </c>
      <c r="V79" s="85">
        <f t="shared" si="38"/>
        <v>30.14586709886548</v>
      </c>
      <c r="W79" s="85">
        <f t="shared" si="38"/>
        <v>26.094003241491087</v>
      </c>
      <c r="X79" s="85">
        <f t="shared" si="38"/>
        <v>23.9870340356564</v>
      </c>
      <c r="Y79" s="86">
        <f t="shared" si="38"/>
        <v>25.121555915721235</v>
      </c>
      <c r="Z79" s="108">
        <f t="shared" si="38"/>
        <v>17.179902755267424</v>
      </c>
      <c r="AA79" s="85">
        <f t="shared" si="38"/>
        <v>16.693679092382496</v>
      </c>
      <c r="AB79" s="85">
        <f t="shared" si="38"/>
        <v>13.776337115072934</v>
      </c>
      <c r="AC79" s="85">
        <f t="shared" si="38"/>
        <v>11.345218800648297</v>
      </c>
      <c r="AD79" s="86">
        <f t="shared" si="38"/>
        <v>2.9173419773095626</v>
      </c>
      <c r="AE79" s="87">
        <f t="shared" si="38"/>
        <v>0.81037277147487841</v>
      </c>
    </row>
    <row r="80" spans="1:31" ht="12.75" customHeight="1" x14ac:dyDescent="0.2">
      <c r="A80" s="270"/>
      <c r="B80" s="114">
        <f>B64</f>
        <v>100</v>
      </c>
      <c r="C80" s="125">
        <v>69.863861386138609</v>
      </c>
      <c r="D80" s="126">
        <v>65.037128712871279</v>
      </c>
      <c r="E80" s="126">
        <v>52.227722772277232</v>
      </c>
      <c r="F80" s="126">
        <v>30.816831683168317</v>
      </c>
      <c r="G80" s="126">
        <v>26.113861386138616</v>
      </c>
      <c r="H80" s="126">
        <v>25.247524752475247</v>
      </c>
      <c r="I80" s="126">
        <v>24.566831683168317</v>
      </c>
      <c r="J80" s="126">
        <v>17.450495049504948</v>
      </c>
      <c r="K80" s="126">
        <v>15.779702970297031</v>
      </c>
      <c r="L80" s="126">
        <v>13.551980198019804</v>
      </c>
      <c r="M80" s="126">
        <v>9.467821782178218</v>
      </c>
      <c r="N80" s="127">
        <v>3.2797029702970297</v>
      </c>
      <c r="O80" s="127">
        <v>0.68069306930693074</v>
      </c>
      <c r="P80" s="128"/>
      <c r="R80" s="95" t="str">
        <f>A83</f>
        <v>西濃圏域(n = 290 )　　</v>
      </c>
      <c r="S80" s="88">
        <f>C84</f>
        <v>73.103448275862064</v>
      </c>
      <c r="T80" s="89">
        <f t="shared" ref="T80:AE80" si="39">D84</f>
        <v>66.206896551724142</v>
      </c>
      <c r="U80" s="89">
        <f t="shared" si="39"/>
        <v>54.482758620689651</v>
      </c>
      <c r="V80" s="89">
        <f t="shared" si="39"/>
        <v>32.068965517241374</v>
      </c>
      <c r="W80" s="89">
        <f t="shared" si="39"/>
        <v>25.172413793103448</v>
      </c>
      <c r="X80" s="89">
        <f t="shared" si="39"/>
        <v>27.241379310344826</v>
      </c>
      <c r="Y80" s="90">
        <f t="shared" si="39"/>
        <v>24.827586206896552</v>
      </c>
      <c r="Z80" s="109">
        <f t="shared" si="39"/>
        <v>16.896551724137932</v>
      </c>
      <c r="AA80" s="89">
        <f t="shared" si="39"/>
        <v>14.827586206896552</v>
      </c>
      <c r="AB80" s="89">
        <f t="shared" si="39"/>
        <v>13.793103448275861</v>
      </c>
      <c r="AC80" s="89">
        <f t="shared" si="39"/>
        <v>8.9655172413793096</v>
      </c>
      <c r="AD80" s="90">
        <f t="shared" si="39"/>
        <v>3.4482758620689653</v>
      </c>
      <c r="AE80" s="91">
        <f t="shared" si="39"/>
        <v>0.68965517241379315</v>
      </c>
    </row>
    <row r="81" spans="1:31" ht="12.75" customHeight="1" x14ac:dyDescent="0.2">
      <c r="A81" s="269" t="str">
        <f>A65</f>
        <v>岐阜圏域(n = 617 )　　</v>
      </c>
      <c r="B81" s="113">
        <f t="shared" ref="B81:B90" si="40">B65</f>
        <v>617</v>
      </c>
      <c r="C81" s="129">
        <v>434</v>
      </c>
      <c r="D81" s="130">
        <v>422</v>
      </c>
      <c r="E81" s="130">
        <v>324</v>
      </c>
      <c r="F81" s="130">
        <v>186</v>
      </c>
      <c r="G81" s="130">
        <v>161</v>
      </c>
      <c r="H81" s="130">
        <v>148</v>
      </c>
      <c r="I81" s="130">
        <v>155</v>
      </c>
      <c r="J81" s="130">
        <v>106</v>
      </c>
      <c r="K81" s="130">
        <v>103</v>
      </c>
      <c r="L81" s="130">
        <v>85</v>
      </c>
      <c r="M81" s="130">
        <v>70</v>
      </c>
      <c r="N81" s="130">
        <v>18</v>
      </c>
      <c r="O81" s="140">
        <v>5</v>
      </c>
      <c r="P81" s="131"/>
      <c r="Q81" s="166">
        <f>SUM(C81:P81)</f>
        <v>2217</v>
      </c>
      <c r="R81" s="95" t="str">
        <f>A85</f>
        <v>中濃圏域(n = 300 )　　</v>
      </c>
      <c r="S81" s="88">
        <f>C86</f>
        <v>71.666666666666671</v>
      </c>
      <c r="T81" s="89">
        <f t="shared" ref="T81:AE81" si="41">D86</f>
        <v>66.666666666666657</v>
      </c>
      <c r="U81" s="89">
        <f t="shared" si="41"/>
        <v>52.333333333333329</v>
      </c>
      <c r="V81" s="89">
        <f t="shared" si="41"/>
        <v>35.666666666666671</v>
      </c>
      <c r="W81" s="89">
        <f t="shared" si="41"/>
        <v>30.333333333333336</v>
      </c>
      <c r="X81" s="89">
        <f t="shared" si="41"/>
        <v>30</v>
      </c>
      <c r="Y81" s="90">
        <f t="shared" si="41"/>
        <v>26.333333333333332</v>
      </c>
      <c r="Z81" s="109">
        <f t="shared" si="41"/>
        <v>15.666666666666668</v>
      </c>
      <c r="AA81" s="89">
        <f t="shared" si="41"/>
        <v>15.666666666666668</v>
      </c>
      <c r="AB81" s="89">
        <f t="shared" si="41"/>
        <v>11.333333333333332</v>
      </c>
      <c r="AC81" s="89">
        <f t="shared" si="41"/>
        <v>6.666666666666667</v>
      </c>
      <c r="AD81" s="90">
        <f t="shared" si="41"/>
        <v>2.3333333333333335</v>
      </c>
      <c r="AE81" s="91">
        <f t="shared" si="41"/>
        <v>0.66666666666666674</v>
      </c>
    </row>
    <row r="82" spans="1:31" ht="12.75" customHeight="1" x14ac:dyDescent="0.2">
      <c r="A82" s="270"/>
      <c r="B82" s="114">
        <f t="shared" si="40"/>
        <v>38.180693069306933</v>
      </c>
      <c r="C82" s="125">
        <v>70.340356564019444</v>
      </c>
      <c r="D82" s="126">
        <v>68.395461912479732</v>
      </c>
      <c r="E82" s="126">
        <v>52.512155591572117</v>
      </c>
      <c r="F82" s="126">
        <v>30.14586709886548</v>
      </c>
      <c r="G82" s="126">
        <v>26.094003241491087</v>
      </c>
      <c r="H82" s="126">
        <v>23.9870340356564</v>
      </c>
      <c r="I82" s="126">
        <v>25.121555915721235</v>
      </c>
      <c r="J82" s="126">
        <v>17.179902755267424</v>
      </c>
      <c r="K82" s="126">
        <v>16.693679092382496</v>
      </c>
      <c r="L82" s="126">
        <v>13.776337115072934</v>
      </c>
      <c r="M82" s="126">
        <v>11.345218800648297</v>
      </c>
      <c r="N82" s="126">
        <v>2.9173419773095626</v>
      </c>
      <c r="O82" s="127">
        <v>0.81037277147487841</v>
      </c>
      <c r="P82" s="128"/>
      <c r="R82" s="95" t="str">
        <f>A87</f>
        <v>東濃圏域(n = 271 )　　</v>
      </c>
      <c r="S82" s="88">
        <f>C88</f>
        <v>69.741697416974162</v>
      </c>
      <c r="T82" s="89">
        <f t="shared" ref="T82:AE82" si="42">D88</f>
        <v>61.254612546125465</v>
      </c>
      <c r="U82" s="89">
        <f t="shared" si="42"/>
        <v>54.981549815498155</v>
      </c>
      <c r="V82" s="89">
        <f t="shared" si="42"/>
        <v>26.937269372693727</v>
      </c>
      <c r="W82" s="89">
        <f t="shared" si="42"/>
        <v>26.199261992619927</v>
      </c>
      <c r="X82" s="89">
        <f t="shared" si="42"/>
        <v>24.723247232472325</v>
      </c>
      <c r="Y82" s="90">
        <f t="shared" si="42"/>
        <v>22.878228782287824</v>
      </c>
      <c r="Z82" s="109">
        <f t="shared" si="42"/>
        <v>21.033210332103323</v>
      </c>
      <c r="AA82" s="89">
        <f t="shared" si="42"/>
        <v>14.391143911439114</v>
      </c>
      <c r="AB82" s="89">
        <f t="shared" si="42"/>
        <v>15.867158671586715</v>
      </c>
      <c r="AC82" s="89">
        <f t="shared" si="42"/>
        <v>8.4870848708487081</v>
      </c>
      <c r="AD82" s="90">
        <f t="shared" si="42"/>
        <v>5.1660516605166054</v>
      </c>
      <c r="AE82" s="91">
        <f t="shared" si="42"/>
        <v>0.36900369003690037</v>
      </c>
    </row>
    <row r="83" spans="1:31" ht="13.5" customHeight="1" x14ac:dyDescent="0.2">
      <c r="A83" s="269" t="str">
        <f>A67</f>
        <v>西濃圏域(n = 290 )　　</v>
      </c>
      <c r="B83" s="113">
        <f t="shared" si="40"/>
        <v>290</v>
      </c>
      <c r="C83" s="129">
        <v>212</v>
      </c>
      <c r="D83" s="130">
        <v>192</v>
      </c>
      <c r="E83" s="130">
        <v>158</v>
      </c>
      <c r="F83" s="130">
        <v>93</v>
      </c>
      <c r="G83" s="130">
        <v>73</v>
      </c>
      <c r="H83" s="130">
        <v>79</v>
      </c>
      <c r="I83" s="130">
        <v>72</v>
      </c>
      <c r="J83" s="130">
        <v>49</v>
      </c>
      <c r="K83" s="130">
        <v>43</v>
      </c>
      <c r="L83" s="130">
        <v>40</v>
      </c>
      <c r="M83" s="130">
        <v>26</v>
      </c>
      <c r="N83" s="130">
        <v>10</v>
      </c>
      <c r="O83" s="140">
        <v>2</v>
      </c>
      <c r="P83" s="131"/>
      <c r="R83" s="94" t="str">
        <f>A89</f>
        <v>飛騨圏域(n = 106 )　　</v>
      </c>
      <c r="S83" s="78">
        <f>C90</f>
        <v>74.528301886792448</v>
      </c>
      <c r="T83" s="79">
        <f t="shared" ref="T83:AE83" si="43">D90</f>
        <v>66.981132075471692</v>
      </c>
      <c r="U83" s="79">
        <f t="shared" si="43"/>
        <v>52.830188679245282</v>
      </c>
      <c r="V83" s="79">
        <f t="shared" si="43"/>
        <v>36.79245283018868</v>
      </c>
      <c r="W83" s="79">
        <f t="shared" si="43"/>
        <v>24.528301886792452</v>
      </c>
      <c r="X83" s="79">
        <f t="shared" si="43"/>
        <v>22.641509433962266</v>
      </c>
      <c r="Y83" s="80">
        <f t="shared" si="43"/>
        <v>27.358490566037734</v>
      </c>
      <c r="Z83" s="107">
        <f t="shared" si="43"/>
        <v>21.69811320754717</v>
      </c>
      <c r="AA83" s="79">
        <f t="shared" si="43"/>
        <v>21.69811320754717</v>
      </c>
      <c r="AB83" s="79">
        <f t="shared" si="43"/>
        <v>16.037735849056602</v>
      </c>
      <c r="AC83" s="79">
        <f t="shared" si="43"/>
        <v>13.20754716981132</v>
      </c>
      <c r="AD83" s="80">
        <f t="shared" si="43"/>
        <v>3.7735849056603774</v>
      </c>
      <c r="AE83" s="81">
        <f t="shared" si="43"/>
        <v>0.94339622641509435</v>
      </c>
    </row>
    <row r="84" spans="1:31" x14ac:dyDescent="0.2">
      <c r="A84" s="270"/>
      <c r="B84" s="114">
        <f t="shared" si="40"/>
        <v>17.945544554455445</v>
      </c>
      <c r="C84" s="125">
        <v>73.103448275862064</v>
      </c>
      <c r="D84" s="126">
        <v>66.206896551724142</v>
      </c>
      <c r="E84" s="126">
        <v>54.482758620689651</v>
      </c>
      <c r="F84" s="126">
        <v>32.068965517241374</v>
      </c>
      <c r="G84" s="126">
        <v>25.172413793103448</v>
      </c>
      <c r="H84" s="126">
        <v>27.241379310344826</v>
      </c>
      <c r="I84" s="126">
        <v>24.827586206896552</v>
      </c>
      <c r="J84" s="126">
        <v>16.896551724137932</v>
      </c>
      <c r="K84" s="126">
        <v>14.827586206896552</v>
      </c>
      <c r="L84" s="126">
        <v>13.793103448275861</v>
      </c>
      <c r="M84" s="126">
        <v>8.9655172413793096</v>
      </c>
      <c r="N84" s="126">
        <v>3.4482758620689653</v>
      </c>
      <c r="O84" s="127">
        <v>0.68965517241379315</v>
      </c>
      <c r="P84" s="128"/>
    </row>
    <row r="85" spans="1:31" x14ac:dyDescent="0.2">
      <c r="A85" s="269" t="str">
        <f>A69</f>
        <v>中濃圏域(n = 300 )　　</v>
      </c>
      <c r="B85" s="113">
        <f t="shared" si="40"/>
        <v>300</v>
      </c>
      <c r="C85" s="129">
        <v>215</v>
      </c>
      <c r="D85" s="130">
        <v>200</v>
      </c>
      <c r="E85" s="130">
        <v>157</v>
      </c>
      <c r="F85" s="130">
        <v>107</v>
      </c>
      <c r="G85" s="130">
        <v>91</v>
      </c>
      <c r="H85" s="130">
        <v>90</v>
      </c>
      <c r="I85" s="130">
        <v>79</v>
      </c>
      <c r="J85" s="130">
        <v>47</v>
      </c>
      <c r="K85" s="130">
        <v>47</v>
      </c>
      <c r="L85" s="130">
        <v>34</v>
      </c>
      <c r="M85" s="130">
        <v>20</v>
      </c>
      <c r="N85" s="130">
        <v>7</v>
      </c>
      <c r="O85" s="140">
        <v>2</v>
      </c>
      <c r="P85" s="131"/>
    </row>
    <row r="86" spans="1:31" x14ac:dyDescent="0.2">
      <c r="A86" s="270"/>
      <c r="B86" s="114">
        <f t="shared" si="40"/>
        <v>18.564356435643564</v>
      </c>
      <c r="C86" s="125">
        <v>71.666666666666671</v>
      </c>
      <c r="D86" s="126">
        <v>66.666666666666657</v>
      </c>
      <c r="E86" s="126">
        <v>52.333333333333329</v>
      </c>
      <c r="F86" s="126">
        <v>35.666666666666671</v>
      </c>
      <c r="G86" s="126">
        <v>30.333333333333336</v>
      </c>
      <c r="H86" s="126">
        <v>30</v>
      </c>
      <c r="I86" s="126">
        <v>26.333333333333332</v>
      </c>
      <c r="J86" s="126">
        <v>15.666666666666668</v>
      </c>
      <c r="K86" s="126">
        <v>15.666666666666668</v>
      </c>
      <c r="L86" s="126">
        <v>11.333333333333332</v>
      </c>
      <c r="M86" s="126">
        <v>6.666666666666667</v>
      </c>
      <c r="N86" s="126">
        <v>2.3333333333333335</v>
      </c>
      <c r="O86" s="127">
        <v>0.66666666666666674</v>
      </c>
      <c r="P86" s="128"/>
    </row>
    <row r="87" spans="1:31" x14ac:dyDescent="0.2">
      <c r="A87" s="269" t="str">
        <f>A71</f>
        <v>東濃圏域(n = 271 )　　</v>
      </c>
      <c r="B87" s="113">
        <f t="shared" si="40"/>
        <v>271</v>
      </c>
      <c r="C87" s="129">
        <v>189</v>
      </c>
      <c r="D87" s="130">
        <v>166</v>
      </c>
      <c r="E87" s="130">
        <v>149</v>
      </c>
      <c r="F87" s="130">
        <v>73</v>
      </c>
      <c r="G87" s="130">
        <v>71</v>
      </c>
      <c r="H87" s="130">
        <v>67</v>
      </c>
      <c r="I87" s="130">
        <v>62</v>
      </c>
      <c r="J87" s="130">
        <v>57</v>
      </c>
      <c r="K87" s="130">
        <v>39</v>
      </c>
      <c r="L87" s="130">
        <v>43</v>
      </c>
      <c r="M87" s="130">
        <v>23</v>
      </c>
      <c r="N87" s="130">
        <v>14</v>
      </c>
      <c r="O87" s="140">
        <v>1</v>
      </c>
      <c r="P87" s="131"/>
    </row>
    <row r="88" spans="1:31" x14ac:dyDescent="0.2">
      <c r="A88" s="270"/>
      <c r="B88" s="114">
        <f t="shared" si="40"/>
        <v>16.769801980198022</v>
      </c>
      <c r="C88" s="125">
        <v>69.741697416974162</v>
      </c>
      <c r="D88" s="126">
        <v>61.254612546125465</v>
      </c>
      <c r="E88" s="126">
        <v>54.981549815498155</v>
      </c>
      <c r="F88" s="126">
        <v>26.937269372693727</v>
      </c>
      <c r="G88" s="126">
        <v>26.199261992619927</v>
      </c>
      <c r="H88" s="126">
        <v>24.723247232472325</v>
      </c>
      <c r="I88" s="126">
        <v>22.878228782287824</v>
      </c>
      <c r="J88" s="126">
        <v>21.033210332103323</v>
      </c>
      <c r="K88" s="126">
        <v>14.391143911439114</v>
      </c>
      <c r="L88" s="126">
        <v>15.867158671586715</v>
      </c>
      <c r="M88" s="126">
        <v>8.4870848708487081</v>
      </c>
      <c r="N88" s="126">
        <v>5.1660516605166054</v>
      </c>
      <c r="O88" s="127">
        <v>0.36900369003690037</v>
      </c>
      <c r="P88" s="128"/>
    </row>
    <row r="89" spans="1:31" x14ac:dyDescent="0.2">
      <c r="A89" s="269" t="str">
        <f>A73</f>
        <v>飛騨圏域(n = 106 )　　</v>
      </c>
      <c r="B89" s="113">
        <f t="shared" si="40"/>
        <v>106</v>
      </c>
      <c r="C89" s="129">
        <v>79</v>
      </c>
      <c r="D89" s="130">
        <v>71</v>
      </c>
      <c r="E89" s="130">
        <v>56</v>
      </c>
      <c r="F89" s="130">
        <v>39</v>
      </c>
      <c r="G89" s="130">
        <v>26</v>
      </c>
      <c r="H89" s="130">
        <v>24</v>
      </c>
      <c r="I89" s="130">
        <v>29</v>
      </c>
      <c r="J89" s="130">
        <v>23</v>
      </c>
      <c r="K89" s="130">
        <v>23</v>
      </c>
      <c r="L89" s="130">
        <v>17</v>
      </c>
      <c r="M89" s="130">
        <v>14</v>
      </c>
      <c r="N89" s="130">
        <v>4</v>
      </c>
      <c r="O89" s="140">
        <v>1</v>
      </c>
      <c r="P89" s="131"/>
    </row>
    <row r="90" spans="1:31" x14ac:dyDescent="0.2">
      <c r="A90" s="270"/>
      <c r="B90" s="114">
        <f t="shared" si="40"/>
        <v>6.5594059405940595</v>
      </c>
      <c r="C90" s="125">
        <v>74.528301886792448</v>
      </c>
      <c r="D90" s="126">
        <v>66.981132075471692</v>
      </c>
      <c r="E90" s="126">
        <v>52.830188679245282</v>
      </c>
      <c r="F90" s="126">
        <v>36.79245283018868</v>
      </c>
      <c r="G90" s="126">
        <v>24.528301886792452</v>
      </c>
      <c r="H90" s="126">
        <v>22.641509433962266</v>
      </c>
      <c r="I90" s="126">
        <v>27.358490566037734</v>
      </c>
      <c r="J90" s="126">
        <v>21.69811320754717</v>
      </c>
      <c r="K90" s="126">
        <v>21.69811320754717</v>
      </c>
      <c r="L90" s="126">
        <v>16.037735849056602</v>
      </c>
      <c r="M90" s="126">
        <v>13.20754716981132</v>
      </c>
      <c r="N90" s="126">
        <v>3.7735849056603774</v>
      </c>
      <c r="O90" s="127">
        <v>0.94339622641509435</v>
      </c>
      <c r="P90" s="128"/>
    </row>
  </sheetData>
  <sortState columnSort="1" ref="C77:P78">
    <sortCondition ref="C77:P77"/>
  </sortState>
  <mergeCells count="34">
    <mergeCell ref="A87:A88"/>
    <mergeCell ref="A89:A90"/>
    <mergeCell ref="A71:A72"/>
    <mergeCell ref="A73:A74"/>
    <mergeCell ref="A79:A80"/>
    <mergeCell ref="A81:A82"/>
    <mergeCell ref="A83:A84"/>
    <mergeCell ref="A85:A86"/>
    <mergeCell ref="A69:A70"/>
    <mergeCell ref="A37:A38"/>
    <mergeCell ref="A43:A44"/>
    <mergeCell ref="A47:A48"/>
    <mergeCell ref="A49:A50"/>
    <mergeCell ref="A51:A52"/>
    <mergeCell ref="A53:A54"/>
    <mergeCell ref="A55:A56"/>
    <mergeCell ref="A57:A58"/>
    <mergeCell ref="A63:A64"/>
    <mergeCell ref="A65:A66"/>
    <mergeCell ref="A67:A68"/>
    <mergeCell ref="A45:A46"/>
    <mergeCell ref="A35:A36"/>
    <mergeCell ref="A3:A4"/>
    <mergeCell ref="A5:A6"/>
    <mergeCell ref="A7:A8"/>
    <mergeCell ref="A13:A14"/>
    <mergeCell ref="A15:A16"/>
    <mergeCell ref="A17:A18"/>
    <mergeCell ref="A23:A24"/>
    <mergeCell ref="A27:A28"/>
    <mergeCell ref="A29:A30"/>
    <mergeCell ref="A31:A32"/>
    <mergeCell ref="A33:A34"/>
    <mergeCell ref="A25:A26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S58"/>
  <sheetViews>
    <sheetView topLeftCell="A35" zoomScaleNormal="100" workbookViewId="0">
      <selection activeCell="A59" sqref="A59"/>
    </sheetView>
  </sheetViews>
  <sheetFormatPr defaultRowHeight="13.2" x14ac:dyDescent="0.2"/>
  <cols>
    <col min="9" max="9" width="6.33203125" bestFit="1" customWidth="1"/>
    <col min="19" max="19" width="9" style="50"/>
  </cols>
  <sheetData>
    <row r="1" spans="1:19" x14ac:dyDescent="0.2">
      <c r="A1" s="3" t="s">
        <v>76</v>
      </c>
      <c r="B1" s="1" t="s">
        <v>77</v>
      </c>
      <c r="C1" s="8"/>
      <c r="D1" s="8"/>
      <c r="E1" s="8"/>
      <c r="F1" s="8"/>
      <c r="G1" s="9" t="s">
        <v>19</v>
      </c>
    </row>
    <row r="2" spans="1:19" ht="43.2" x14ac:dyDescent="0.2">
      <c r="A2" s="12" t="s">
        <v>20</v>
      </c>
      <c r="B2" s="59" t="s">
        <v>3</v>
      </c>
      <c r="C2" s="60" t="s">
        <v>127</v>
      </c>
      <c r="D2" s="61" t="s">
        <v>88</v>
      </c>
      <c r="E2" s="61" t="s">
        <v>89</v>
      </c>
      <c r="F2" s="61" t="s">
        <v>90</v>
      </c>
      <c r="G2" s="61" t="s">
        <v>91</v>
      </c>
      <c r="H2" s="63" t="s">
        <v>0</v>
      </c>
      <c r="I2" s="21" t="s">
        <v>32</v>
      </c>
      <c r="J2" s="12" t="str">
        <f>A2</f>
        <v>【性別】</v>
      </c>
      <c r="K2" s="60" t="str">
        <f t="shared" ref="K2:P2" si="0">C2</f>
        <v>住みやすい</v>
      </c>
      <c r="L2" s="61" t="str">
        <f t="shared" si="0"/>
        <v>どちらかといえば住みやすい</v>
      </c>
      <c r="M2" s="62" t="str">
        <f t="shared" si="0"/>
        <v>どちらともいえない</v>
      </c>
      <c r="N2" s="61" t="str">
        <f t="shared" si="0"/>
        <v>どちらかといえば住みにくい</v>
      </c>
      <c r="O2" s="62" t="str">
        <f t="shared" si="0"/>
        <v>住みにくい</v>
      </c>
      <c r="P2" s="63" t="str">
        <f t="shared" si="0"/>
        <v>無回答</v>
      </c>
      <c r="Q2" s="46" t="s">
        <v>95</v>
      </c>
      <c r="R2" s="46" t="s">
        <v>96</v>
      </c>
      <c r="S2" s="51" t="s">
        <v>42</v>
      </c>
    </row>
    <row r="3" spans="1:19" ht="13.5" customHeight="1" x14ac:dyDescent="0.2">
      <c r="A3" s="275" t="str">
        <f>'問5M（表）'!A3:A4</f>
        <v>全体(n = 1,616 )　　</v>
      </c>
      <c r="B3" s="34">
        <f>'問5M（表）'!B3</f>
        <v>1616</v>
      </c>
      <c r="C3" s="31">
        <v>349</v>
      </c>
      <c r="D3" s="32">
        <v>744</v>
      </c>
      <c r="E3" s="32">
        <v>320</v>
      </c>
      <c r="F3" s="32">
        <v>170</v>
      </c>
      <c r="G3" s="32">
        <v>32</v>
      </c>
      <c r="H3" s="33">
        <v>1</v>
      </c>
      <c r="I3" s="7"/>
      <c r="J3" s="67" t="str">
        <f>A3</f>
        <v>全体(n = 1,616 )　　</v>
      </c>
      <c r="K3" s="70">
        <f t="shared" ref="K3:P3" si="1">C4</f>
        <v>21.596534653465348</v>
      </c>
      <c r="L3" s="71">
        <f t="shared" si="1"/>
        <v>46.039603960396043</v>
      </c>
      <c r="M3" s="72">
        <f t="shared" si="1"/>
        <v>19.801980198019802</v>
      </c>
      <c r="N3" s="71">
        <f t="shared" si="1"/>
        <v>10.51980198019802</v>
      </c>
      <c r="O3" s="72">
        <f t="shared" si="1"/>
        <v>1.9801980198019802</v>
      </c>
      <c r="P3" s="73">
        <f t="shared" si="1"/>
        <v>6.1881188118811881E-2</v>
      </c>
      <c r="Q3" s="24">
        <f>K3+L3</f>
        <v>67.636138613861391</v>
      </c>
      <c r="R3" s="24">
        <f>N3+O3</f>
        <v>12.5</v>
      </c>
      <c r="S3" s="25">
        <f>Q3-R3</f>
        <v>55.136138613861391</v>
      </c>
    </row>
    <row r="4" spans="1:19" ht="13.5" customHeight="1" x14ac:dyDescent="0.2">
      <c r="A4" s="276"/>
      <c r="B4" s="35">
        <v>100</v>
      </c>
      <c r="C4" s="20">
        <f>C3/$B3*100</f>
        <v>21.596534653465348</v>
      </c>
      <c r="D4" s="207">
        <f t="shared" ref="D4:H4" si="2">D3/$B3*100</f>
        <v>46.039603960396043</v>
      </c>
      <c r="E4" s="207">
        <f t="shared" si="2"/>
        <v>19.801980198019802</v>
      </c>
      <c r="F4" s="207">
        <f t="shared" si="2"/>
        <v>10.51980198019802</v>
      </c>
      <c r="G4" s="207">
        <f t="shared" si="2"/>
        <v>1.9801980198019802</v>
      </c>
      <c r="H4" s="208">
        <f t="shared" si="2"/>
        <v>6.1881188118811881E-2</v>
      </c>
      <c r="I4" s="7"/>
      <c r="J4" s="68" t="str">
        <f>A5</f>
        <v>男性(n = 705 )　　</v>
      </c>
      <c r="K4" s="74">
        <f t="shared" ref="K4:P4" si="3">C6</f>
        <v>23.971631205673759</v>
      </c>
      <c r="L4" s="75">
        <f t="shared" si="3"/>
        <v>44.680851063829785</v>
      </c>
      <c r="M4" s="76">
        <f t="shared" si="3"/>
        <v>19.148936170212767</v>
      </c>
      <c r="N4" s="75">
        <f t="shared" si="3"/>
        <v>9.787234042553191</v>
      </c>
      <c r="O4" s="76">
        <f t="shared" si="3"/>
        <v>2.2695035460992909</v>
      </c>
      <c r="P4" s="77">
        <f t="shared" si="3"/>
        <v>0.14184397163120568</v>
      </c>
      <c r="Q4" s="24">
        <f>K4+L4</f>
        <v>68.652482269503537</v>
      </c>
      <c r="R4" s="24">
        <f>N4+O4</f>
        <v>12.056737588652481</v>
      </c>
      <c r="S4" s="25">
        <f>Q4-R4</f>
        <v>56.595744680851055</v>
      </c>
    </row>
    <row r="5" spans="1:19" ht="13.5" customHeight="1" x14ac:dyDescent="0.2">
      <c r="A5" s="275" t="str">
        <f>'問5M（表）'!A5:A6</f>
        <v>男性(n = 705 )　　</v>
      </c>
      <c r="B5" s="34">
        <f>'問5M（表）'!B5</f>
        <v>705</v>
      </c>
      <c r="C5" s="28">
        <v>169</v>
      </c>
      <c r="D5" s="29">
        <v>315</v>
      </c>
      <c r="E5" s="29">
        <v>135</v>
      </c>
      <c r="F5" s="29">
        <v>69</v>
      </c>
      <c r="G5" s="29">
        <v>16</v>
      </c>
      <c r="H5" s="30">
        <v>1</v>
      </c>
      <c r="J5" s="69" t="str">
        <f>A7</f>
        <v>女性(n = 901 )　　</v>
      </c>
      <c r="K5" s="78">
        <f t="shared" ref="K5:P5" si="4">C8</f>
        <v>19.533851276359602</v>
      </c>
      <c r="L5" s="79">
        <f t="shared" si="4"/>
        <v>47.391786903440618</v>
      </c>
      <c r="M5" s="80">
        <f t="shared" si="4"/>
        <v>20.199778024417313</v>
      </c>
      <c r="N5" s="79">
        <f t="shared" si="4"/>
        <v>11.098779134295228</v>
      </c>
      <c r="O5" s="80">
        <f t="shared" si="4"/>
        <v>1.7758046614872365</v>
      </c>
      <c r="P5" s="81">
        <f t="shared" si="4"/>
        <v>0</v>
      </c>
      <c r="Q5" s="24">
        <f>K5+L5</f>
        <v>66.925638179800217</v>
      </c>
      <c r="R5" s="24">
        <f>N5+O5</f>
        <v>12.874583795782463</v>
      </c>
      <c r="S5" s="25">
        <f>Q5-R5</f>
        <v>54.051054384017753</v>
      </c>
    </row>
    <row r="6" spans="1:19" x14ac:dyDescent="0.2">
      <c r="A6" s="276"/>
      <c r="B6" s="20">
        <f>B5/$B3*100</f>
        <v>43.626237623762378</v>
      </c>
      <c r="C6" s="20">
        <f>C5/$B5*100</f>
        <v>23.971631205673759</v>
      </c>
      <c r="D6" s="207">
        <f t="shared" ref="D6:H6" si="5">D5/$B5*100</f>
        <v>44.680851063829785</v>
      </c>
      <c r="E6" s="207">
        <f t="shared" si="5"/>
        <v>19.148936170212767</v>
      </c>
      <c r="F6" s="207">
        <f t="shared" si="5"/>
        <v>9.787234042553191</v>
      </c>
      <c r="G6" s="207">
        <f t="shared" si="5"/>
        <v>2.2695035460992909</v>
      </c>
      <c r="H6" s="208">
        <f t="shared" si="5"/>
        <v>0.14184397163120568</v>
      </c>
    </row>
    <row r="7" spans="1:19" ht="13.5" customHeight="1" x14ac:dyDescent="0.2">
      <c r="A7" s="275" t="str">
        <f>'問5M（表）'!A7:A8</f>
        <v>女性(n = 901 )　　</v>
      </c>
      <c r="B7" s="34">
        <f>'問5M（表）'!B7</f>
        <v>901</v>
      </c>
      <c r="C7" s="28">
        <v>176</v>
      </c>
      <c r="D7" s="29">
        <v>427</v>
      </c>
      <c r="E7" s="29">
        <v>182</v>
      </c>
      <c r="F7" s="29">
        <v>100</v>
      </c>
      <c r="G7" s="29">
        <v>16</v>
      </c>
      <c r="H7" s="30">
        <v>0</v>
      </c>
    </row>
    <row r="8" spans="1:19" x14ac:dyDescent="0.2">
      <c r="A8" s="276"/>
      <c r="B8" s="20">
        <f>B7/$B3*100</f>
        <v>55.754950495049506</v>
      </c>
      <c r="C8" s="20">
        <f t="shared" ref="C8:H8" si="6">C7/$B7*100</f>
        <v>19.533851276359602</v>
      </c>
      <c r="D8" s="207">
        <f t="shared" si="6"/>
        <v>47.391786903440618</v>
      </c>
      <c r="E8" s="207">
        <f t="shared" si="6"/>
        <v>20.199778024417313</v>
      </c>
      <c r="F8" s="207">
        <f t="shared" si="6"/>
        <v>11.098779134295228</v>
      </c>
      <c r="G8" s="207">
        <f t="shared" si="6"/>
        <v>1.7758046614872365</v>
      </c>
      <c r="H8" s="208">
        <f t="shared" si="6"/>
        <v>0</v>
      </c>
    </row>
    <row r="9" spans="1:19" s="186" customFormat="1" x14ac:dyDescent="0.2">
      <c r="A9" s="184"/>
      <c r="B9" s="182"/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2"/>
    </row>
    <row r="11" spans="1:19" x14ac:dyDescent="0.2">
      <c r="A11" s="3" t="s">
        <v>128</v>
      </c>
      <c r="B11" s="1" t="str">
        <f>B1</f>
        <v>現在住んでいる地域は住みやすいか</v>
      </c>
      <c r="C11" s="8"/>
      <c r="D11" s="8"/>
      <c r="E11" s="8"/>
      <c r="F11" s="8"/>
      <c r="G11" s="9" t="s">
        <v>1</v>
      </c>
      <c r="H11" s="9"/>
    </row>
    <row r="12" spans="1:19" ht="43.2" x14ac:dyDescent="0.2">
      <c r="A12" s="12" t="s">
        <v>25</v>
      </c>
      <c r="B12" s="59" t="str">
        <f>B2</f>
        <v>調査数</v>
      </c>
      <c r="C12" s="60" t="str">
        <f t="shared" ref="C12:H12" si="7">C2</f>
        <v>住みやすい</v>
      </c>
      <c r="D12" s="61" t="str">
        <f t="shared" si="7"/>
        <v>どちらかといえば住みやすい</v>
      </c>
      <c r="E12" s="62" t="str">
        <f t="shared" si="7"/>
        <v>どちらともいえない</v>
      </c>
      <c r="F12" s="61" t="str">
        <f t="shared" si="7"/>
        <v>どちらかといえば住みにくい</v>
      </c>
      <c r="G12" s="62" t="str">
        <f t="shared" si="7"/>
        <v>住みにくい</v>
      </c>
      <c r="H12" s="63" t="str">
        <f t="shared" si="7"/>
        <v>無回答</v>
      </c>
      <c r="I12" s="21" t="s">
        <v>32</v>
      </c>
      <c r="J12" s="12" t="str">
        <f>A12</f>
        <v>【年代別】</v>
      </c>
      <c r="K12" s="60" t="str">
        <f t="shared" ref="K12:P12" si="8">C12</f>
        <v>住みやすい</v>
      </c>
      <c r="L12" s="61" t="str">
        <f t="shared" si="8"/>
        <v>どちらかといえば住みやすい</v>
      </c>
      <c r="M12" s="62" t="str">
        <f t="shared" si="8"/>
        <v>どちらともいえない</v>
      </c>
      <c r="N12" s="61" t="str">
        <f t="shared" si="8"/>
        <v>どちらかといえば住みにくい</v>
      </c>
      <c r="O12" s="62" t="str">
        <f t="shared" si="8"/>
        <v>住みにくい</v>
      </c>
      <c r="P12" s="63" t="str">
        <f t="shared" si="8"/>
        <v>無回答</v>
      </c>
      <c r="Q12" s="46" t="s">
        <v>95</v>
      </c>
      <c r="R12" s="46" t="s">
        <v>96</v>
      </c>
      <c r="S12" s="51" t="s">
        <v>42</v>
      </c>
    </row>
    <row r="13" spans="1:19" ht="13.5" customHeight="1" x14ac:dyDescent="0.2">
      <c r="A13" s="275" t="str">
        <f>'問5M（表）'!A23</f>
        <v>全体(n = 1,616 )　　</v>
      </c>
      <c r="B13" s="34">
        <f>'問5M（表）'!B23</f>
        <v>1616</v>
      </c>
      <c r="C13" s="31">
        <f>$C$3</f>
        <v>349</v>
      </c>
      <c r="D13" s="32">
        <f>$D$3</f>
        <v>744</v>
      </c>
      <c r="E13" s="32">
        <f>$E$3</f>
        <v>320</v>
      </c>
      <c r="F13" s="32">
        <f>$F$3</f>
        <v>170</v>
      </c>
      <c r="G13" s="32">
        <f>$G$3</f>
        <v>32</v>
      </c>
      <c r="H13" s="33">
        <f>$H$3</f>
        <v>1</v>
      </c>
      <c r="J13" s="177" t="str">
        <f>A13</f>
        <v>全体(n = 1,616 )　　</v>
      </c>
      <c r="K13" s="176">
        <f>C14</f>
        <v>21.596534653465348</v>
      </c>
      <c r="L13" s="178">
        <f t="shared" ref="L13:P13" si="9">D14</f>
        <v>46.039603960396043</v>
      </c>
      <c r="M13" s="179">
        <f t="shared" si="9"/>
        <v>19.801980198019802</v>
      </c>
      <c r="N13" s="178">
        <f t="shared" si="9"/>
        <v>10.51980198019802</v>
      </c>
      <c r="O13" s="179">
        <f t="shared" si="9"/>
        <v>1.9801980198019802</v>
      </c>
      <c r="P13" s="180">
        <f t="shared" si="9"/>
        <v>6.1881188118811881E-2</v>
      </c>
      <c r="Q13" s="24">
        <f>K13+L13</f>
        <v>67.636138613861391</v>
      </c>
      <c r="R13" s="24">
        <f>N13+O13</f>
        <v>12.5</v>
      </c>
      <c r="S13" s="25">
        <f>Q13-R13</f>
        <v>55.136138613861391</v>
      </c>
    </row>
    <row r="14" spans="1:19" ht="13.5" customHeight="1" x14ac:dyDescent="0.2">
      <c r="A14" s="276"/>
      <c r="B14" s="35">
        <v>100</v>
      </c>
      <c r="C14" s="20">
        <f>C13/$B13*100</f>
        <v>21.596534653465348</v>
      </c>
      <c r="D14" s="207">
        <f t="shared" ref="D14:H14" si="10">D13/$B13*100</f>
        <v>46.039603960396043</v>
      </c>
      <c r="E14" s="207">
        <f t="shared" si="10"/>
        <v>19.801980198019802</v>
      </c>
      <c r="F14" s="207">
        <f t="shared" si="10"/>
        <v>10.51980198019802</v>
      </c>
      <c r="G14" s="207">
        <f t="shared" si="10"/>
        <v>1.9801980198019802</v>
      </c>
      <c r="H14" s="208">
        <f t="shared" si="10"/>
        <v>6.1881188118811881E-2</v>
      </c>
      <c r="J14" s="83" t="str">
        <f>A15</f>
        <v>18～19歳(n = 21 )　　</v>
      </c>
      <c r="K14" s="88">
        <f>C16</f>
        <v>28.571428571428569</v>
      </c>
      <c r="L14" s="89">
        <f t="shared" ref="L14:P14" si="11">D16</f>
        <v>38.095238095238095</v>
      </c>
      <c r="M14" s="90">
        <f t="shared" si="11"/>
        <v>19.047619047619047</v>
      </c>
      <c r="N14" s="89">
        <f t="shared" si="11"/>
        <v>0</v>
      </c>
      <c r="O14" s="90">
        <f t="shared" si="11"/>
        <v>14.285714285714285</v>
      </c>
      <c r="P14" s="91">
        <f t="shared" si="11"/>
        <v>0</v>
      </c>
      <c r="Q14" s="24">
        <f>K14+L14</f>
        <v>66.666666666666657</v>
      </c>
      <c r="R14" s="24">
        <f t="shared" ref="R14" si="12">N14+O14</f>
        <v>14.285714285714285</v>
      </c>
      <c r="S14" s="25">
        <f>Q14-R14</f>
        <v>52.380952380952372</v>
      </c>
    </row>
    <row r="15" spans="1:19" ht="13.5" customHeight="1" x14ac:dyDescent="0.2">
      <c r="A15" s="275" t="str">
        <f>'問5M（表）'!A25</f>
        <v>18～19歳(n = 21 )　　</v>
      </c>
      <c r="B15" s="34">
        <f>'問5M（表）'!B25</f>
        <v>21</v>
      </c>
      <c r="C15" s="28">
        <v>6</v>
      </c>
      <c r="D15" s="29">
        <v>8</v>
      </c>
      <c r="E15" s="29">
        <v>4</v>
      </c>
      <c r="F15" s="29">
        <v>0</v>
      </c>
      <c r="G15" s="29">
        <v>3</v>
      </c>
      <c r="H15" s="30">
        <v>0</v>
      </c>
      <c r="J15" s="68" t="str">
        <f>A17</f>
        <v>20～29歳(n = 119 )　　</v>
      </c>
      <c r="K15" s="74">
        <f t="shared" ref="K15:P15" si="13">C18</f>
        <v>33.613445378151262</v>
      </c>
      <c r="L15" s="75">
        <f t="shared" si="13"/>
        <v>35.294117647058826</v>
      </c>
      <c r="M15" s="76">
        <f t="shared" si="13"/>
        <v>16.806722689075631</v>
      </c>
      <c r="N15" s="75">
        <f t="shared" si="13"/>
        <v>12.605042016806722</v>
      </c>
      <c r="O15" s="76">
        <f t="shared" si="13"/>
        <v>1.680672268907563</v>
      </c>
      <c r="P15" s="77">
        <f t="shared" si="13"/>
        <v>0</v>
      </c>
      <c r="Q15" s="24">
        <f>K15+L15</f>
        <v>68.907563025210095</v>
      </c>
      <c r="R15" s="24">
        <f t="shared" ref="R15:R20" si="14">N15+O15</f>
        <v>14.285714285714285</v>
      </c>
      <c r="S15" s="25">
        <f>Q15-R15</f>
        <v>54.62184873949581</v>
      </c>
    </row>
    <row r="16" spans="1:19" ht="13.5" customHeight="1" x14ac:dyDescent="0.2">
      <c r="A16" s="276"/>
      <c r="B16" s="20">
        <f>B15/$B$13*100</f>
        <v>1.2995049504950495</v>
      </c>
      <c r="C16" s="20">
        <f>C15/$B15*100</f>
        <v>28.571428571428569</v>
      </c>
      <c r="D16" s="207">
        <f t="shared" ref="D16:H16" si="15">D15/$B15*100</f>
        <v>38.095238095238095</v>
      </c>
      <c r="E16" s="207">
        <f t="shared" si="15"/>
        <v>19.047619047619047</v>
      </c>
      <c r="F16" s="207">
        <f t="shared" si="15"/>
        <v>0</v>
      </c>
      <c r="G16" s="207">
        <f t="shared" si="15"/>
        <v>14.285714285714285</v>
      </c>
      <c r="H16" s="208">
        <f t="shared" si="15"/>
        <v>0</v>
      </c>
      <c r="J16" s="83" t="str">
        <f>A19</f>
        <v>30～39歳(n = 196 )　　</v>
      </c>
      <c r="K16" s="88">
        <f t="shared" ref="K16:P16" si="16">C20</f>
        <v>19.387755102040817</v>
      </c>
      <c r="L16" s="89">
        <f t="shared" si="16"/>
        <v>47.959183673469383</v>
      </c>
      <c r="M16" s="90">
        <f t="shared" si="16"/>
        <v>20.918367346938776</v>
      </c>
      <c r="N16" s="89">
        <f t="shared" si="16"/>
        <v>10.204081632653061</v>
      </c>
      <c r="O16" s="90">
        <f t="shared" si="16"/>
        <v>1.5306122448979591</v>
      </c>
      <c r="P16" s="91">
        <f t="shared" si="16"/>
        <v>0</v>
      </c>
      <c r="Q16" s="24">
        <f>K16+L16</f>
        <v>67.346938775510196</v>
      </c>
      <c r="R16" s="24">
        <f t="shared" si="14"/>
        <v>11.73469387755102</v>
      </c>
      <c r="S16" s="25">
        <f>Q16-R16</f>
        <v>55.612244897959172</v>
      </c>
    </row>
    <row r="17" spans="1:19" ht="13.5" customHeight="1" x14ac:dyDescent="0.2">
      <c r="A17" s="275" t="str">
        <f>'問5M（表）'!A27</f>
        <v>20～29歳(n = 119 )　　</v>
      </c>
      <c r="B17" s="34">
        <f>'問5M（表）'!B27</f>
        <v>119</v>
      </c>
      <c r="C17" s="28">
        <v>40</v>
      </c>
      <c r="D17" s="29">
        <v>42</v>
      </c>
      <c r="E17" s="29">
        <v>20</v>
      </c>
      <c r="F17" s="29">
        <v>15</v>
      </c>
      <c r="G17" s="29">
        <v>2</v>
      </c>
      <c r="H17" s="30">
        <v>0</v>
      </c>
      <c r="J17" s="83" t="str">
        <f>A21</f>
        <v>40～49歳(n = 281 )　　</v>
      </c>
      <c r="K17" s="88">
        <f t="shared" ref="K17:P17" si="17">C22</f>
        <v>20.284697508896798</v>
      </c>
      <c r="L17" s="89">
        <f t="shared" si="17"/>
        <v>46.97508896797153</v>
      </c>
      <c r="M17" s="90">
        <f t="shared" si="17"/>
        <v>18.505338078291814</v>
      </c>
      <c r="N17" s="89">
        <f t="shared" si="17"/>
        <v>11.032028469750891</v>
      </c>
      <c r="O17" s="90">
        <f t="shared" si="17"/>
        <v>2.8469750889679712</v>
      </c>
      <c r="P17" s="91">
        <f t="shared" si="17"/>
        <v>0.35587188612099641</v>
      </c>
      <c r="Q17" s="24">
        <f t="shared" ref="Q17:Q19" si="18">K17+L17</f>
        <v>67.259786476868328</v>
      </c>
      <c r="R17" s="24">
        <f t="shared" si="14"/>
        <v>13.879003558718862</v>
      </c>
      <c r="S17" s="25">
        <f t="shared" ref="S17:S20" si="19">Q17-R17</f>
        <v>53.380782918149464</v>
      </c>
    </row>
    <row r="18" spans="1:19" ht="13.5" customHeight="1" x14ac:dyDescent="0.2">
      <c r="A18" s="276"/>
      <c r="B18" s="20">
        <f>B17/$B$13*100</f>
        <v>7.3638613861386135</v>
      </c>
      <c r="C18" s="20">
        <f t="shared" ref="C18:H18" si="20">C17/$B17*100</f>
        <v>33.613445378151262</v>
      </c>
      <c r="D18" s="207">
        <f t="shared" si="20"/>
        <v>35.294117647058826</v>
      </c>
      <c r="E18" s="207">
        <f t="shared" si="20"/>
        <v>16.806722689075631</v>
      </c>
      <c r="F18" s="207">
        <f t="shared" si="20"/>
        <v>12.605042016806722</v>
      </c>
      <c r="G18" s="207">
        <f t="shared" si="20"/>
        <v>1.680672268907563</v>
      </c>
      <c r="H18" s="208">
        <f t="shared" si="20"/>
        <v>0</v>
      </c>
      <c r="J18" s="83" t="str">
        <f>A23</f>
        <v>50～59歳(n = 320 )　　</v>
      </c>
      <c r="K18" s="88">
        <f t="shared" ref="K18:P18" si="21">C24</f>
        <v>17.8125</v>
      </c>
      <c r="L18" s="89">
        <f t="shared" si="21"/>
        <v>45.3125</v>
      </c>
      <c r="M18" s="90">
        <f t="shared" si="21"/>
        <v>23.75</v>
      </c>
      <c r="N18" s="89">
        <f t="shared" si="21"/>
        <v>11.5625</v>
      </c>
      <c r="O18" s="90">
        <f t="shared" si="21"/>
        <v>1.5625</v>
      </c>
      <c r="P18" s="91">
        <f t="shared" si="21"/>
        <v>0</v>
      </c>
      <c r="Q18" s="24">
        <f t="shared" si="18"/>
        <v>63.125</v>
      </c>
      <c r="R18" s="24">
        <f t="shared" si="14"/>
        <v>13.125</v>
      </c>
      <c r="S18" s="25">
        <f t="shared" si="19"/>
        <v>50</v>
      </c>
    </row>
    <row r="19" spans="1:19" ht="13.5" customHeight="1" x14ac:dyDescent="0.2">
      <c r="A19" s="275" t="str">
        <f>'問5M（表）'!A29</f>
        <v>30～39歳(n = 196 )　　</v>
      </c>
      <c r="B19" s="34">
        <f>'問5M（表）'!B29</f>
        <v>196</v>
      </c>
      <c r="C19" s="28">
        <v>38</v>
      </c>
      <c r="D19" s="29">
        <v>94</v>
      </c>
      <c r="E19" s="29">
        <v>41</v>
      </c>
      <c r="F19" s="29">
        <v>20</v>
      </c>
      <c r="G19" s="29">
        <v>3</v>
      </c>
      <c r="H19" s="30">
        <v>0</v>
      </c>
      <c r="J19" s="83" t="str">
        <f>A25</f>
        <v>60～69歳(n = 352 )　　</v>
      </c>
      <c r="K19" s="88">
        <f t="shared" ref="K19:P19" si="22">C26</f>
        <v>16.761363636363637</v>
      </c>
      <c r="L19" s="89">
        <f t="shared" si="22"/>
        <v>50</v>
      </c>
      <c r="M19" s="90">
        <f t="shared" si="22"/>
        <v>20.454545454545457</v>
      </c>
      <c r="N19" s="89">
        <f t="shared" si="22"/>
        <v>11.079545454545455</v>
      </c>
      <c r="O19" s="90">
        <f t="shared" si="22"/>
        <v>1.7045454545454544</v>
      </c>
      <c r="P19" s="91">
        <f t="shared" si="22"/>
        <v>0</v>
      </c>
      <c r="Q19" s="24">
        <f t="shared" si="18"/>
        <v>66.76136363636364</v>
      </c>
      <c r="R19" s="24">
        <f t="shared" si="14"/>
        <v>12.78409090909091</v>
      </c>
      <c r="S19" s="25">
        <f t="shared" si="19"/>
        <v>53.977272727272734</v>
      </c>
    </row>
    <row r="20" spans="1:19" ht="13.5" customHeight="1" x14ac:dyDescent="0.2">
      <c r="A20" s="276"/>
      <c r="B20" s="20">
        <f>B19/$B$13*100</f>
        <v>12.128712871287128</v>
      </c>
      <c r="C20" s="20">
        <f t="shared" ref="C20:H20" si="23">C19/$B19*100</f>
        <v>19.387755102040817</v>
      </c>
      <c r="D20" s="207">
        <f t="shared" si="23"/>
        <v>47.959183673469383</v>
      </c>
      <c r="E20" s="207">
        <f t="shared" si="23"/>
        <v>20.918367346938776</v>
      </c>
      <c r="F20" s="207">
        <f t="shared" si="23"/>
        <v>10.204081632653061</v>
      </c>
      <c r="G20" s="207">
        <f t="shared" si="23"/>
        <v>1.5306122448979591</v>
      </c>
      <c r="H20" s="208">
        <f t="shared" si="23"/>
        <v>0</v>
      </c>
      <c r="J20" s="69" t="str">
        <f>A27</f>
        <v>70歳以上(n = 315 )　　</v>
      </c>
      <c r="K20" s="78">
        <f t="shared" ref="K20:P20" si="24">C28</f>
        <v>28.253968253968253</v>
      </c>
      <c r="L20" s="79">
        <f t="shared" si="24"/>
        <v>45.396825396825399</v>
      </c>
      <c r="M20" s="80">
        <f t="shared" si="24"/>
        <v>16.825396825396826</v>
      </c>
      <c r="N20" s="79">
        <f t="shared" si="24"/>
        <v>7.9365079365079358</v>
      </c>
      <c r="O20" s="80">
        <f t="shared" si="24"/>
        <v>1.5873015873015872</v>
      </c>
      <c r="P20" s="81">
        <f t="shared" si="24"/>
        <v>0</v>
      </c>
      <c r="Q20" s="24">
        <f>K20+L20</f>
        <v>73.650793650793645</v>
      </c>
      <c r="R20" s="24">
        <f t="shared" si="14"/>
        <v>9.5238095238095237</v>
      </c>
      <c r="S20" s="25">
        <f t="shared" si="19"/>
        <v>64.126984126984127</v>
      </c>
    </row>
    <row r="21" spans="1:19" x14ac:dyDescent="0.2">
      <c r="A21" s="275" t="str">
        <f>'問5M（表）'!A31</f>
        <v>40～49歳(n = 281 )　　</v>
      </c>
      <c r="B21" s="34">
        <f>'問5M（表）'!B31</f>
        <v>281</v>
      </c>
      <c r="C21" s="28">
        <v>57</v>
      </c>
      <c r="D21" s="29">
        <v>132</v>
      </c>
      <c r="E21" s="29">
        <v>52</v>
      </c>
      <c r="F21" s="29">
        <v>31</v>
      </c>
      <c r="G21" s="29">
        <v>8</v>
      </c>
      <c r="H21" s="30">
        <v>1</v>
      </c>
      <c r="Q21" s="24"/>
      <c r="R21" s="24"/>
      <c r="S21" s="25"/>
    </row>
    <row r="22" spans="1:19" x14ac:dyDescent="0.2">
      <c r="A22" s="276"/>
      <c r="B22" s="20">
        <f>B21/$B$13*100</f>
        <v>17.388613861386137</v>
      </c>
      <c r="C22" s="20">
        <f t="shared" ref="C22:H22" si="25">C21/$B21*100</f>
        <v>20.284697508896798</v>
      </c>
      <c r="D22" s="207">
        <f t="shared" si="25"/>
        <v>46.97508896797153</v>
      </c>
      <c r="E22" s="207">
        <f t="shared" si="25"/>
        <v>18.505338078291814</v>
      </c>
      <c r="F22" s="207">
        <f t="shared" si="25"/>
        <v>11.032028469750891</v>
      </c>
      <c r="G22" s="207">
        <f t="shared" si="25"/>
        <v>2.8469750889679712</v>
      </c>
      <c r="H22" s="208">
        <f t="shared" si="25"/>
        <v>0.35587188612099641</v>
      </c>
    </row>
    <row r="23" spans="1:19" x14ac:dyDescent="0.2">
      <c r="A23" s="275" t="str">
        <f>'問5M（表）'!A33</f>
        <v>50～59歳(n = 320 )　　</v>
      </c>
      <c r="B23" s="34">
        <f>'問5M（表）'!B33</f>
        <v>320</v>
      </c>
      <c r="C23" s="28">
        <v>57</v>
      </c>
      <c r="D23" s="29">
        <v>145</v>
      </c>
      <c r="E23" s="29">
        <v>76</v>
      </c>
      <c r="F23" s="29">
        <v>37</v>
      </c>
      <c r="G23" s="29">
        <v>5</v>
      </c>
      <c r="H23" s="30">
        <v>0</v>
      </c>
    </row>
    <row r="24" spans="1:19" x14ac:dyDescent="0.2">
      <c r="A24" s="276"/>
      <c r="B24" s="20">
        <f>B23/$B$13*100</f>
        <v>19.801980198019802</v>
      </c>
      <c r="C24" s="20">
        <f t="shared" ref="C24:H24" si="26">C23/$B23*100</f>
        <v>17.8125</v>
      </c>
      <c r="D24" s="207">
        <f t="shared" si="26"/>
        <v>45.3125</v>
      </c>
      <c r="E24" s="207">
        <f t="shared" si="26"/>
        <v>23.75</v>
      </c>
      <c r="F24" s="207">
        <f t="shared" si="26"/>
        <v>11.5625</v>
      </c>
      <c r="G24" s="207">
        <f t="shared" si="26"/>
        <v>1.5625</v>
      </c>
      <c r="H24" s="208">
        <f t="shared" si="26"/>
        <v>0</v>
      </c>
    </row>
    <row r="25" spans="1:19" x14ac:dyDescent="0.2">
      <c r="A25" s="275" t="str">
        <f>'問5M（表）'!A35</f>
        <v>60～69歳(n = 352 )　　</v>
      </c>
      <c r="B25" s="34">
        <f>'問5M（表）'!B35</f>
        <v>352</v>
      </c>
      <c r="C25" s="28">
        <v>59</v>
      </c>
      <c r="D25" s="29">
        <v>176</v>
      </c>
      <c r="E25" s="29">
        <v>72</v>
      </c>
      <c r="F25" s="29">
        <v>39</v>
      </c>
      <c r="G25" s="29">
        <v>6</v>
      </c>
      <c r="H25" s="30">
        <v>0</v>
      </c>
    </row>
    <row r="26" spans="1:19" x14ac:dyDescent="0.2">
      <c r="A26" s="276"/>
      <c r="B26" s="20">
        <f>B25/$B$13*100</f>
        <v>21.782178217821784</v>
      </c>
      <c r="C26" s="20">
        <f t="shared" ref="C26:H26" si="27">C25/$B25*100</f>
        <v>16.761363636363637</v>
      </c>
      <c r="D26" s="207">
        <f t="shared" si="27"/>
        <v>50</v>
      </c>
      <c r="E26" s="207">
        <f t="shared" si="27"/>
        <v>20.454545454545457</v>
      </c>
      <c r="F26" s="207">
        <f t="shared" si="27"/>
        <v>11.079545454545455</v>
      </c>
      <c r="G26" s="207">
        <f t="shared" si="27"/>
        <v>1.7045454545454544</v>
      </c>
      <c r="H26" s="208">
        <f t="shared" si="27"/>
        <v>0</v>
      </c>
    </row>
    <row r="27" spans="1:19" x14ac:dyDescent="0.2">
      <c r="A27" s="275" t="str">
        <f>'問5M（表）'!A37</f>
        <v>70歳以上(n = 315 )　　</v>
      </c>
      <c r="B27" s="34">
        <f>'問5M（表）'!B37</f>
        <v>315</v>
      </c>
      <c r="C27" s="28">
        <v>89</v>
      </c>
      <c r="D27" s="29">
        <v>143</v>
      </c>
      <c r="E27" s="29">
        <v>53</v>
      </c>
      <c r="F27" s="29">
        <v>25</v>
      </c>
      <c r="G27" s="29">
        <v>5</v>
      </c>
      <c r="H27" s="30">
        <v>0</v>
      </c>
    </row>
    <row r="28" spans="1:19" x14ac:dyDescent="0.2">
      <c r="A28" s="276"/>
      <c r="B28" s="20">
        <f>B27/$B$13*100</f>
        <v>19.492574257425744</v>
      </c>
      <c r="C28" s="20">
        <f t="shared" ref="C28:H28" si="28">C27/$B27*100</f>
        <v>28.253968253968253</v>
      </c>
      <c r="D28" s="207">
        <f t="shared" si="28"/>
        <v>45.396825396825399</v>
      </c>
      <c r="E28" s="207">
        <f t="shared" si="28"/>
        <v>16.825396825396826</v>
      </c>
      <c r="F28" s="207">
        <f t="shared" si="28"/>
        <v>7.9365079365079358</v>
      </c>
      <c r="G28" s="207">
        <f t="shared" si="28"/>
        <v>1.5873015873015872</v>
      </c>
      <c r="H28" s="208">
        <f t="shared" si="28"/>
        <v>0</v>
      </c>
    </row>
    <row r="30" spans="1:19" ht="13.5" customHeight="1" x14ac:dyDescent="0.2">
      <c r="A30" s="3" t="s">
        <v>129</v>
      </c>
      <c r="B30" s="1" t="str">
        <f>B11</f>
        <v>現在住んでいる地域は住みやすいか</v>
      </c>
      <c r="C30" s="8"/>
      <c r="D30" s="8"/>
      <c r="E30" s="8"/>
      <c r="F30" s="8"/>
      <c r="G30" s="9" t="s">
        <v>19</v>
      </c>
      <c r="H30" s="9"/>
    </row>
    <row r="31" spans="1:19" ht="33.75" customHeight="1" x14ac:dyDescent="0.2">
      <c r="A31" s="13" t="s">
        <v>27</v>
      </c>
      <c r="B31" s="59" t="str">
        <f>B12</f>
        <v>調査数</v>
      </c>
      <c r="C31" s="60" t="str">
        <f t="shared" ref="C31:H31" si="29">C12</f>
        <v>住みやすい</v>
      </c>
      <c r="D31" s="61" t="str">
        <f t="shared" si="29"/>
        <v>どちらかといえば住みやすい</v>
      </c>
      <c r="E31" s="62" t="str">
        <f t="shared" si="29"/>
        <v>どちらともいえない</v>
      </c>
      <c r="F31" s="61" t="str">
        <f t="shared" si="29"/>
        <v>どちらかといえば住みにくい</v>
      </c>
      <c r="G31" s="62" t="str">
        <f t="shared" si="29"/>
        <v>住みにくい</v>
      </c>
      <c r="H31" s="63" t="str">
        <f t="shared" si="29"/>
        <v>無回答</v>
      </c>
      <c r="I31" s="21" t="s">
        <v>32</v>
      </c>
      <c r="J31" s="12" t="str">
        <f>A31</f>
        <v>【居住圏域別】</v>
      </c>
      <c r="K31" s="60" t="str">
        <f t="shared" ref="K31:P31" si="30">C31</f>
        <v>住みやすい</v>
      </c>
      <c r="L31" s="61" t="str">
        <f t="shared" si="30"/>
        <v>どちらかといえば住みやすい</v>
      </c>
      <c r="M31" s="62" t="str">
        <f t="shared" si="30"/>
        <v>どちらともいえない</v>
      </c>
      <c r="N31" s="61" t="str">
        <f t="shared" si="30"/>
        <v>どちらかといえば住みにくい</v>
      </c>
      <c r="O31" s="62" t="str">
        <f t="shared" si="30"/>
        <v>住みにくい</v>
      </c>
      <c r="P31" s="63" t="str">
        <f t="shared" si="30"/>
        <v>無回答</v>
      </c>
      <c r="Q31" s="46" t="s">
        <v>95</v>
      </c>
      <c r="R31" s="46" t="s">
        <v>96</v>
      </c>
      <c r="S31" s="51" t="s">
        <v>42</v>
      </c>
    </row>
    <row r="32" spans="1:19" ht="13.5" customHeight="1" x14ac:dyDescent="0.2">
      <c r="A32" s="275" t="str">
        <f>'問5M（表）'!A63</f>
        <v>全体(n = 1,616 )　　</v>
      </c>
      <c r="B32" s="34">
        <f>'問5M（表）'!B63</f>
        <v>1616</v>
      </c>
      <c r="C32" s="31">
        <f>$C$3</f>
        <v>349</v>
      </c>
      <c r="D32" s="32">
        <f>$D$3</f>
        <v>744</v>
      </c>
      <c r="E32" s="32">
        <f>$E$3</f>
        <v>320</v>
      </c>
      <c r="F32" s="32">
        <f>$F$3</f>
        <v>170</v>
      </c>
      <c r="G32" s="32">
        <f>$G$3</f>
        <v>32</v>
      </c>
      <c r="H32" s="33">
        <f>$H$3</f>
        <v>1</v>
      </c>
      <c r="J32" s="67" t="str">
        <f>A32</f>
        <v>全体(n = 1,616 )　　</v>
      </c>
      <c r="K32" s="70">
        <f t="shared" ref="K32:P32" si="31">C33</f>
        <v>21.596534653465348</v>
      </c>
      <c r="L32" s="71">
        <f t="shared" si="31"/>
        <v>46.039603960396043</v>
      </c>
      <c r="M32" s="72">
        <f t="shared" si="31"/>
        <v>19.801980198019802</v>
      </c>
      <c r="N32" s="71">
        <f t="shared" si="31"/>
        <v>10.51980198019802</v>
      </c>
      <c r="O32" s="72">
        <f t="shared" si="31"/>
        <v>1.9801980198019802</v>
      </c>
      <c r="P32" s="73">
        <f t="shared" si="31"/>
        <v>6.1881188118811881E-2</v>
      </c>
      <c r="Q32" s="24">
        <f>K32+L32</f>
        <v>67.636138613861391</v>
      </c>
      <c r="R32" s="24">
        <f>N32+O32</f>
        <v>12.5</v>
      </c>
      <c r="S32" s="25">
        <f>Q32-R32</f>
        <v>55.136138613861391</v>
      </c>
    </row>
    <row r="33" spans="1:19" ht="13.5" customHeight="1" x14ac:dyDescent="0.2">
      <c r="A33" s="276"/>
      <c r="B33" s="35">
        <v>100</v>
      </c>
      <c r="C33" s="20">
        <f t="shared" ref="C33:H33" si="32">C32/$B32*100</f>
        <v>21.596534653465348</v>
      </c>
      <c r="D33" s="207">
        <f t="shared" si="32"/>
        <v>46.039603960396043</v>
      </c>
      <c r="E33" s="207">
        <f t="shared" si="32"/>
        <v>19.801980198019802</v>
      </c>
      <c r="F33" s="207">
        <f t="shared" si="32"/>
        <v>10.51980198019802</v>
      </c>
      <c r="G33" s="207">
        <f t="shared" si="32"/>
        <v>1.9801980198019802</v>
      </c>
      <c r="H33" s="208">
        <f t="shared" si="32"/>
        <v>6.1881188118811881E-2</v>
      </c>
      <c r="J33" s="82" t="str">
        <f>A34</f>
        <v>岐阜圏域(n = 617 )　　</v>
      </c>
      <c r="K33" s="84">
        <f t="shared" ref="K33:P33" si="33">C35</f>
        <v>26.418152350081037</v>
      </c>
      <c r="L33" s="85">
        <f t="shared" si="33"/>
        <v>43.435980551053483</v>
      </c>
      <c r="M33" s="86">
        <f t="shared" si="33"/>
        <v>18.80064829821718</v>
      </c>
      <c r="N33" s="85">
        <f t="shared" si="33"/>
        <v>10.210696920583469</v>
      </c>
      <c r="O33" s="86">
        <f t="shared" si="33"/>
        <v>1.1345218800648298</v>
      </c>
      <c r="P33" s="87">
        <f t="shared" si="33"/>
        <v>0</v>
      </c>
      <c r="Q33" s="24">
        <f>K33+L33</f>
        <v>69.85413290113452</v>
      </c>
      <c r="R33" s="24">
        <f t="shared" ref="R33:R37" si="34">N33+O33</f>
        <v>11.345218800648299</v>
      </c>
      <c r="S33" s="25">
        <f>Q33-R33</f>
        <v>58.508914100486223</v>
      </c>
    </row>
    <row r="34" spans="1:19" ht="13.5" customHeight="1" x14ac:dyDescent="0.2">
      <c r="A34" s="275" t="str">
        <f>'問5M（表）'!A65</f>
        <v>岐阜圏域(n = 617 )　　</v>
      </c>
      <c r="B34" s="34">
        <f>'問5M（表）'!B65</f>
        <v>617</v>
      </c>
      <c r="C34" s="28">
        <v>163</v>
      </c>
      <c r="D34" s="29">
        <v>268</v>
      </c>
      <c r="E34" s="29">
        <v>116</v>
      </c>
      <c r="F34" s="29">
        <v>63</v>
      </c>
      <c r="G34" s="29">
        <v>7</v>
      </c>
      <c r="H34" s="30">
        <v>0</v>
      </c>
      <c r="I34" s="170">
        <v>1</v>
      </c>
      <c r="J34" s="83" t="str">
        <f>A36</f>
        <v>西濃圏域(n = 290 )　　</v>
      </c>
      <c r="K34" s="88">
        <f t="shared" ref="K34:P34" si="35">C37</f>
        <v>18.96551724137931</v>
      </c>
      <c r="L34" s="89">
        <f t="shared" si="35"/>
        <v>54.482758620689651</v>
      </c>
      <c r="M34" s="90">
        <f t="shared" si="35"/>
        <v>17.586206896551722</v>
      </c>
      <c r="N34" s="89">
        <f t="shared" si="35"/>
        <v>7.931034482758621</v>
      </c>
      <c r="O34" s="90">
        <f t="shared" si="35"/>
        <v>1.0344827586206897</v>
      </c>
      <c r="P34" s="91">
        <f t="shared" si="35"/>
        <v>0</v>
      </c>
      <c r="Q34" s="24">
        <f>K34+L34</f>
        <v>73.448275862068954</v>
      </c>
      <c r="R34" s="24">
        <f t="shared" si="34"/>
        <v>8.9655172413793114</v>
      </c>
      <c r="S34" s="25">
        <f>Q34-R34</f>
        <v>64.482758620689637</v>
      </c>
    </row>
    <row r="35" spans="1:19" ht="13.5" customHeight="1" x14ac:dyDescent="0.2">
      <c r="A35" s="276"/>
      <c r="B35" s="20">
        <f>B34/$B$32*100</f>
        <v>38.180693069306933</v>
      </c>
      <c r="C35" s="20">
        <f t="shared" ref="C35:H35" si="36">C34/$B34*100</f>
        <v>26.418152350081037</v>
      </c>
      <c r="D35" s="207">
        <f t="shared" si="36"/>
        <v>43.435980551053483</v>
      </c>
      <c r="E35" s="207">
        <f t="shared" si="36"/>
        <v>18.80064829821718</v>
      </c>
      <c r="F35" s="207">
        <f t="shared" si="36"/>
        <v>10.210696920583469</v>
      </c>
      <c r="G35" s="207">
        <f t="shared" si="36"/>
        <v>1.1345218800648298</v>
      </c>
      <c r="H35" s="208">
        <f t="shared" si="36"/>
        <v>0</v>
      </c>
      <c r="J35" s="83" t="str">
        <f>A38</f>
        <v>中濃圏域(n = 300 )　　</v>
      </c>
      <c r="K35" s="88">
        <f t="shared" ref="K35:P35" si="37">C39</f>
        <v>20</v>
      </c>
      <c r="L35" s="89">
        <f t="shared" si="37"/>
        <v>50.333333333333329</v>
      </c>
      <c r="M35" s="90">
        <f t="shared" si="37"/>
        <v>18.666666666666668</v>
      </c>
      <c r="N35" s="89">
        <f t="shared" si="37"/>
        <v>8.3333333333333321</v>
      </c>
      <c r="O35" s="90">
        <f t="shared" si="37"/>
        <v>2.666666666666667</v>
      </c>
      <c r="P35" s="91">
        <f t="shared" si="37"/>
        <v>0</v>
      </c>
      <c r="Q35" s="24">
        <f t="shared" ref="Q35:Q37" si="38">K35+L35</f>
        <v>70.333333333333329</v>
      </c>
      <c r="R35" s="24">
        <f t="shared" si="34"/>
        <v>11</v>
      </c>
      <c r="S35" s="25">
        <f t="shared" ref="S35:S37" si="39">Q35-R35</f>
        <v>59.333333333333329</v>
      </c>
    </row>
    <row r="36" spans="1:19" ht="13.5" customHeight="1" x14ac:dyDescent="0.2">
      <c r="A36" s="275" t="str">
        <f>'問5M（表）'!A67</f>
        <v>西濃圏域(n = 290 )　　</v>
      </c>
      <c r="B36" s="34">
        <f>'問5M（表）'!B67</f>
        <v>290</v>
      </c>
      <c r="C36" s="28">
        <v>55</v>
      </c>
      <c r="D36" s="29">
        <v>158</v>
      </c>
      <c r="E36" s="29">
        <v>51</v>
      </c>
      <c r="F36" s="29">
        <v>23</v>
      </c>
      <c r="G36" s="29">
        <v>3</v>
      </c>
      <c r="H36" s="30">
        <v>0</v>
      </c>
      <c r="I36" s="170">
        <v>2</v>
      </c>
      <c r="J36" s="83" t="str">
        <f>A40</f>
        <v>東濃圏域(n = 271 )　　</v>
      </c>
      <c r="K36" s="88">
        <f t="shared" ref="K36:P36" si="40">C41</f>
        <v>15.129151291512915</v>
      </c>
      <c r="L36" s="89">
        <f t="shared" si="40"/>
        <v>38.376383763837637</v>
      </c>
      <c r="M36" s="90">
        <f t="shared" si="40"/>
        <v>28.044280442804425</v>
      </c>
      <c r="N36" s="89">
        <f t="shared" si="40"/>
        <v>14.760147601476014</v>
      </c>
      <c r="O36" s="90">
        <f t="shared" si="40"/>
        <v>3.6900369003690034</v>
      </c>
      <c r="P36" s="91">
        <f t="shared" si="40"/>
        <v>0</v>
      </c>
      <c r="Q36" s="24">
        <f t="shared" si="38"/>
        <v>53.505535055350549</v>
      </c>
      <c r="R36" s="24">
        <f t="shared" si="34"/>
        <v>18.450184501845015</v>
      </c>
      <c r="S36" s="25">
        <f t="shared" si="39"/>
        <v>35.055350553505534</v>
      </c>
    </row>
    <row r="37" spans="1:19" ht="13.5" customHeight="1" x14ac:dyDescent="0.2">
      <c r="A37" s="276"/>
      <c r="B37" s="20">
        <f>B36/$B$32*100</f>
        <v>17.945544554455445</v>
      </c>
      <c r="C37" s="20">
        <f t="shared" ref="C37:H37" si="41">C36/$B36*100</f>
        <v>18.96551724137931</v>
      </c>
      <c r="D37" s="207">
        <f t="shared" si="41"/>
        <v>54.482758620689651</v>
      </c>
      <c r="E37" s="207">
        <f t="shared" si="41"/>
        <v>17.586206896551722</v>
      </c>
      <c r="F37" s="207">
        <f t="shared" si="41"/>
        <v>7.931034482758621</v>
      </c>
      <c r="G37" s="207">
        <f t="shared" si="41"/>
        <v>1.0344827586206897</v>
      </c>
      <c r="H37" s="208">
        <f t="shared" si="41"/>
        <v>0</v>
      </c>
      <c r="J37" s="69" t="str">
        <f>A42</f>
        <v>飛騨圏域(n = 106 )　　</v>
      </c>
      <c r="K37" s="78">
        <f t="shared" ref="K37:P37" si="42">C43</f>
        <v>21.69811320754717</v>
      </c>
      <c r="L37" s="79">
        <f t="shared" si="42"/>
        <v>49.056603773584904</v>
      </c>
      <c r="M37" s="80">
        <f t="shared" si="42"/>
        <v>12.264150943396226</v>
      </c>
      <c r="N37" s="79">
        <f t="shared" si="42"/>
        <v>12.264150943396226</v>
      </c>
      <c r="O37" s="80">
        <f t="shared" si="42"/>
        <v>3.7735849056603774</v>
      </c>
      <c r="P37" s="81">
        <f t="shared" si="42"/>
        <v>0.94339622641509435</v>
      </c>
      <c r="Q37" s="24">
        <f t="shared" si="38"/>
        <v>70.754716981132077</v>
      </c>
      <c r="R37" s="24">
        <f t="shared" si="34"/>
        <v>16.037735849056602</v>
      </c>
      <c r="S37" s="25">
        <f t="shared" si="39"/>
        <v>54.716981132075475</v>
      </c>
    </row>
    <row r="38" spans="1:19" ht="13.5" customHeight="1" x14ac:dyDescent="0.2">
      <c r="A38" s="275" t="str">
        <f>'問5M（表）'!A69</f>
        <v>中濃圏域(n = 300 )　　</v>
      </c>
      <c r="B38" s="34">
        <f>'問5M（表）'!B69</f>
        <v>300</v>
      </c>
      <c r="C38" s="28">
        <v>60</v>
      </c>
      <c r="D38" s="29">
        <v>151</v>
      </c>
      <c r="E38" s="29">
        <v>56</v>
      </c>
      <c r="F38" s="29">
        <v>25</v>
      </c>
      <c r="G38" s="29">
        <v>8</v>
      </c>
      <c r="H38" s="30">
        <v>0</v>
      </c>
      <c r="I38" s="170">
        <v>3</v>
      </c>
      <c r="Q38" s="24"/>
      <c r="R38" s="24"/>
      <c r="S38" s="25"/>
    </row>
    <row r="39" spans="1:19" x14ac:dyDescent="0.2">
      <c r="A39" s="276"/>
      <c r="B39" s="20">
        <f>B38/$B$32*100</f>
        <v>18.564356435643564</v>
      </c>
      <c r="C39" s="20">
        <f t="shared" ref="C39:H39" si="43">C38/$B38*100</f>
        <v>20</v>
      </c>
      <c r="D39" s="207">
        <f t="shared" si="43"/>
        <v>50.333333333333329</v>
      </c>
      <c r="E39" s="207">
        <f t="shared" si="43"/>
        <v>18.666666666666668</v>
      </c>
      <c r="F39" s="207">
        <f t="shared" si="43"/>
        <v>8.3333333333333321</v>
      </c>
      <c r="G39" s="207">
        <f t="shared" si="43"/>
        <v>2.666666666666667</v>
      </c>
      <c r="H39" s="208">
        <f t="shared" si="43"/>
        <v>0</v>
      </c>
    </row>
    <row r="40" spans="1:19" x14ac:dyDescent="0.2">
      <c r="A40" s="275" t="str">
        <f>'問5M（表）'!A71</f>
        <v>東濃圏域(n = 271 )　　</v>
      </c>
      <c r="B40" s="34">
        <f>'問5M（表）'!B71</f>
        <v>271</v>
      </c>
      <c r="C40" s="28">
        <v>41</v>
      </c>
      <c r="D40" s="29">
        <v>104</v>
      </c>
      <c r="E40" s="29">
        <v>76</v>
      </c>
      <c r="F40" s="29">
        <v>40</v>
      </c>
      <c r="G40" s="29">
        <v>10</v>
      </c>
      <c r="H40" s="30">
        <v>0</v>
      </c>
      <c r="I40" s="170">
        <v>4</v>
      </c>
    </row>
    <row r="41" spans="1:19" x14ac:dyDescent="0.2">
      <c r="A41" s="276"/>
      <c r="B41" s="20">
        <f>B40/$B$32*100</f>
        <v>16.769801980198022</v>
      </c>
      <c r="C41" s="20">
        <f t="shared" ref="C41:H41" si="44">C40/$B40*100</f>
        <v>15.129151291512915</v>
      </c>
      <c r="D41" s="207">
        <f t="shared" si="44"/>
        <v>38.376383763837637</v>
      </c>
      <c r="E41" s="207">
        <f t="shared" si="44"/>
        <v>28.044280442804425</v>
      </c>
      <c r="F41" s="207">
        <f t="shared" si="44"/>
        <v>14.760147601476014</v>
      </c>
      <c r="G41" s="207">
        <f t="shared" si="44"/>
        <v>3.6900369003690034</v>
      </c>
      <c r="H41" s="208">
        <f t="shared" si="44"/>
        <v>0</v>
      </c>
    </row>
    <row r="42" spans="1:19" x14ac:dyDescent="0.2">
      <c r="A42" s="275" t="str">
        <f>'問5M（表）'!A73</f>
        <v>飛騨圏域(n = 106 )　　</v>
      </c>
      <c r="B42" s="34">
        <f>'問5M（表）'!B73</f>
        <v>106</v>
      </c>
      <c r="C42" s="28">
        <v>23</v>
      </c>
      <c r="D42" s="29">
        <v>52</v>
      </c>
      <c r="E42" s="29">
        <v>13</v>
      </c>
      <c r="F42" s="29">
        <v>13</v>
      </c>
      <c r="G42" s="29">
        <v>4</v>
      </c>
      <c r="H42" s="30">
        <v>1</v>
      </c>
      <c r="I42" s="170">
        <v>5</v>
      </c>
    </row>
    <row r="43" spans="1:19" x14ac:dyDescent="0.2">
      <c r="A43" s="276"/>
      <c r="B43" s="20">
        <f>B42/$B$32*100</f>
        <v>6.5594059405940595</v>
      </c>
      <c r="C43" s="20">
        <f t="shared" ref="C43:H43" si="45">C42/$B42*100</f>
        <v>21.69811320754717</v>
      </c>
      <c r="D43" s="207">
        <f t="shared" si="45"/>
        <v>49.056603773584904</v>
      </c>
      <c r="E43" s="207">
        <f t="shared" si="45"/>
        <v>12.264150943396226</v>
      </c>
      <c r="F43" s="207">
        <f t="shared" si="45"/>
        <v>12.264150943396226</v>
      </c>
      <c r="G43" s="207">
        <f t="shared" si="45"/>
        <v>3.7735849056603774</v>
      </c>
      <c r="H43" s="208">
        <f t="shared" si="45"/>
        <v>0.94339622641509435</v>
      </c>
    </row>
    <row r="45" spans="1:19" ht="13.5" customHeight="1" x14ac:dyDescent="0.2">
      <c r="A45" s="3" t="s">
        <v>166</v>
      </c>
      <c r="B45" s="1" t="str">
        <f>B30</f>
        <v>現在住んでいる地域は住みやすいか</v>
      </c>
      <c r="C45" s="8"/>
      <c r="D45" s="8"/>
      <c r="E45" s="8"/>
      <c r="F45" s="8"/>
      <c r="G45" s="9" t="s">
        <v>19</v>
      </c>
      <c r="H45" s="9"/>
    </row>
    <row r="46" spans="1:19" ht="33.75" customHeight="1" x14ac:dyDescent="0.2">
      <c r="A46" s="13" t="s">
        <v>99</v>
      </c>
      <c r="B46" s="59" t="str">
        <f>B31</f>
        <v>調査数</v>
      </c>
      <c r="C46" s="60" t="str">
        <f t="shared" ref="C46:H46" si="46">C31</f>
        <v>住みやすい</v>
      </c>
      <c r="D46" s="61" t="str">
        <f t="shared" si="46"/>
        <v>どちらかといえば住みやすい</v>
      </c>
      <c r="E46" s="62" t="str">
        <f t="shared" si="46"/>
        <v>どちらともいえない</v>
      </c>
      <c r="F46" s="61" t="str">
        <f t="shared" si="46"/>
        <v>どちらかといえば住みにくい</v>
      </c>
      <c r="G46" s="62" t="str">
        <f t="shared" si="46"/>
        <v>住みにくい</v>
      </c>
      <c r="H46" s="63" t="str">
        <f t="shared" si="46"/>
        <v>無回答</v>
      </c>
      <c r="I46" s="21" t="s">
        <v>32</v>
      </c>
      <c r="J46" s="12" t="str">
        <f>A46</f>
        <v>【居住環境別】</v>
      </c>
      <c r="K46" s="60" t="str">
        <f t="shared" ref="K46:P46" si="47">C46</f>
        <v>住みやすい</v>
      </c>
      <c r="L46" s="61" t="str">
        <f t="shared" si="47"/>
        <v>どちらかといえば住みやすい</v>
      </c>
      <c r="M46" s="62" t="str">
        <f t="shared" si="47"/>
        <v>どちらともいえない</v>
      </c>
      <c r="N46" s="61" t="str">
        <f t="shared" si="47"/>
        <v>どちらかといえば住みにくい</v>
      </c>
      <c r="O46" s="62" t="str">
        <f t="shared" si="47"/>
        <v>住みにくい</v>
      </c>
      <c r="P46" s="63" t="str">
        <f t="shared" si="47"/>
        <v>無回答</v>
      </c>
      <c r="Q46" s="46" t="s">
        <v>95</v>
      </c>
      <c r="R46" s="46" t="s">
        <v>96</v>
      </c>
      <c r="S46" s="51" t="s">
        <v>42</v>
      </c>
    </row>
    <row r="47" spans="1:19" ht="13.5" customHeight="1" x14ac:dyDescent="0.2">
      <c r="A47" s="275" t="s">
        <v>274</v>
      </c>
      <c r="B47" s="34">
        <v>1616</v>
      </c>
      <c r="C47" s="31">
        <f>$C$3</f>
        <v>349</v>
      </c>
      <c r="D47" s="32">
        <f>$D$3</f>
        <v>744</v>
      </c>
      <c r="E47" s="32">
        <f>$E$3</f>
        <v>320</v>
      </c>
      <c r="F47" s="32">
        <f>$F$3</f>
        <v>170</v>
      </c>
      <c r="G47" s="32">
        <f>$G$3</f>
        <v>32</v>
      </c>
      <c r="H47" s="33">
        <f>$H$3</f>
        <v>1</v>
      </c>
      <c r="J47" s="67" t="str">
        <f>A47</f>
        <v>全体(n = 1,616 )　　</v>
      </c>
      <c r="K47" s="70">
        <f t="shared" ref="K47:P47" si="48">C48</f>
        <v>21.596534653465348</v>
      </c>
      <c r="L47" s="71">
        <f t="shared" si="48"/>
        <v>46.039603960396043</v>
      </c>
      <c r="M47" s="72">
        <f t="shared" si="48"/>
        <v>19.801980198019802</v>
      </c>
      <c r="N47" s="71">
        <f t="shared" si="48"/>
        <v>10.51980198019802</v>
      </c>
      <c r="O47" s="72">
        <f t="shared" si="48"/>
        <v>1.9801980198019802</v>
      </c>
      <c r="P47" s="73">
        <f t="shared" si="48"/>
        <v>6.1881188118811881E-2</v>
      </c>
      <c r="Q47" s="24">
        <f>K47+L47</f>
        <v>67.636138613861391</v>
      </c>
      <c r="R47" s="24">
        <f>N47+O47</f>
        <v>12.5</v>
      </c>
      <c r="S47" s="25">
        <f>Q47-R47</f>
        <v>55.136138613861391</v>
      </c>
    </row>
    <row r="48" spans="1:19" ht="13.5" customHeight="1" x14ac:dyDescent="0.2">
      <c r="A48" s="276"/>
      <c r="B48" s="35">
        <v>100</v>
      </c>
      <c r="C48" s="20">
        <f t="shared" ref="C48" si="49">C47/$B47*100</f>
        <v>21.596534653465348</v>
      </c>
      <c r="D48" s="207">
        <f t="shared" ref="D48" si="50">D47/$B47*100</f>
        <v>46.039603960396043</v>
      </c>
      <c r="E48" s="207">
        <f t="shared" ref="E48" si="51">E47/$B47*100</f>
        <v>19.801980198019802</v>
      </c>
      <c r="F48" s="207">
        <f t="shared" ref="F48" si="52">F47/$B47*100</f>
        <v>10.51980198019802</v>
      </c>
      <c r="G48" s="207">
        <f t="shared" ref="G48" si="53">G47/$B47*100</f>
        <v>1.9801980198019802</v>
      </c>
      <c r="H48" s="208">
        <f t="shared" ref="H48" si="54">H47/$B47*100</f>
        <v>6.1881188118811881E-2</v>
      </c>
      <c r="J48" s="82" t="str">
        <f>A49</f>
        <v>農村地域(n = 356 )　　</v>
      </c>
      <c r="K48" s="84">
        <f t="shared" ref="K48:P48" si="55">C50</f>
        <v>16.853932584269664</v>
      </c>
      <c r="L48" s="85">
        <f t="shared" si="55"/>
        <v>43.820224719101127</v>
      </c>
      <c r="M48" s="86">
        <f t="shared" si="55"/>
        <v>22.191011235955056</v>
      </c>
      <c r="N48" s="85">
        <f t="shared" si="55"/>
        <v>14.606741573033707</v>
      </c>
      <c r="O48" s="86">
        <f t="shared" si="55"/>
        <v>2.5280898876404492</v>
      </c>
      <c r="P48" s="87">
        <f t="shared" si="55"/>
        <v>0</v>
      </c>
      <c r="Q48" s="24">
        <f>K48+L48</f>
        <v>60.674157303370791</v>
      </c>
      <c r="R48" s="24">
        <f t="shared" ref="R48:R52" si="56">N48+O48</f>
        <v>17.134831460674157</v>
      </c>
      <c r="S48" s="25">
        <f>Q48-R48</f>
        <v>43.539325842696634</v>
      </c>
    </row>
    <row r="49" spans="1:19" ht="13.5" customHeight="1" x14ac:dyDescent="0.2">
      <c r="A49" s="273" t="str">
        <f>"農村地域(n = 356 )　　"</f>
        <v>農村地域(n = 356 )　　</v>
      </c>
      <c r="B49" s="34">
        <f>SUM(C49:H49)</f>
        <v>356</v>
      </c>
      <c r="C49" s="28">
        <v>60</v>
      </c>
      <c r="D49" s="29">
        <v>156</v>
      </c>
      <c r="E49" s="29">
        <v>79</v>
      </c>
      <c r="F49" s="29">
        <v>52</v>
      </c>
      <c r="G49" s="29">
        <v>9</v>
      </c>
      <c r="H49" s="30">
        <v>0</v>
      </c>
      <c r="I49" s="170">
        <v>1</v>
      </c>
      <c r="J49" s="83" t="str">
        <f>A51</f>
        <v>山間地域(n = 246 )　　</v>
      </c>
      <c r="K49" s="88">
        <f t="shared" ref="K49:P49" si="57">C52</f>
        <v>17.479674796747968</v>
      </c>
      <c r="L49" s="89">
        <f t="shared" si="57"/>
        <v>34.146341463414636</v>
      </c>
      <c r="M49" s="90">
        <f t="shared" si="57"/>
        <v>25.203252032520325</v>
      </c>
      <c r="N49" s="89">
        <f t="shared" si="57"/>
        <v>18.292682926829269</v>
      </c>
      <c r="O49" s="90">
        <f t="shared" si="57"/>
        <v>4.4715447154471546</v>
      </c>
      <c r="P49" s="91">
        <f t="shared" si="57"/>
        <v>0.40650406504065045</v>
      </c>
      <c r="Q49" s="24">
        <f>K49+L49</f>
        <v>51.626016260162601</v>
      </c>
      <c r="R49" s="24">
        <f t="shared" si="56"/>
        <v>22.764227642276424</v>
      </c>
      <c r="S49" s="25">
        <f>Q49-R49</f>
        <v>28.861788617886177</v>
      </c>
    </row>
    <row r="50" spans="1:19" ht="13.5" customHeight="1" x14ac:dyDescent="0.2">
      <c r="A50" s="274"/>
      <c r="B50" s="20">
        <f>B49/$B$47*100</f>
        <v>22.029702970297031</v>
      </c>
      <c r="C50" s="20">
        <f t="shared" ref="C50" si="58">C49/$B49*100</f>
        <v>16.853932584269664</v>
      </c>
      <c r="D50" s="207">
        <f t="shared" ref="D50" si="59">D49/$B49*100</f>
        <v>43.820224719101127</v>
      </c>
      <c r="E50" s="207">
        <f t="shared" ref="E50" si="60">E49/$B49*100</f>
        <v>22.191011235955056</v>
      </c>
      <c r="F50" s="207">
        <f t="shared" ref="F50" si="61">F49/$B49*100</f>
        <v>14.606741573033707</v>
      </c>
      <c r="G50" s="207">
        <f t="shared" ref="G50" si="62">G49/$B49*100</f>
        <v>2.5280898876404492</v>
      </c>
      <c r="H50" s="208">
        <f t="shared" ref="H50" si="63">H49/$B49*100</f>
        <v>0</v>
      </c>
      <c r="J50" s="83" t="str">
        <f>A53</f>
        <v>商業地域(n = 35 )　　</v>
      </c>
      <c r="K50" s="88">
        <f t="shared" ref="K50:P50" si="64">C54</f>
        <v>31.428571428571427</v>
      </c>
      <c r="L50" s="89">
        <f t="shared" si="64"/>
        <v>45.714285714285715</v>
      </c>
      <c r="M50" s="90">
        <f t="shared" si="64"/>
        <v>17.142857142857142</v>
      </c>
      <c r="N50" s="89">
        <f t="shared" si="64"/>
        <v>2.8571428571428572</v>
      </c>
      <c r="O50" s="90">
        <f t="shared" si="64"/>
        <v>2.8571428571428572</v>
      </c>
      <c r="P50" s="91">
        <f t="shared" si="64"/>
        <v>0</v>
      </c>
      <c r="Q50" s="24">
        <f t="shared" ref="Q50:Q52" si="65">K50+L50</f>
        <v>77.142857142857139</v>
      </c>
      <c r="R50" s="24">
        <f t="shared" si="56"/>
        <v>5.7142857142857144</v>
      </c>
      <c r="S50" s="25">
        <f t="shared" ref="S50:S52" si="66">Q50-R50</f>
        <v>71.428571428571431</v>
      </c>
    </row>
    <row r="51" spans="1:19" ht="13.5" customHeight="1" x14ac:dyDescent="0.2">
      <c r="A51" s="273" t="str">
        <f>"山間地域(n = 246 )　　"</f>
        <v>山間地域(n = 246 )　　</v>
      </c>
      <c r="B51" s="34">
        <f>SUM(C51:H51)</f>
        <v>246</v>
      </c>
      <c r="C51" s="28">
        <v>43</v>
      </c>
      <c r="D51" s="29">
        <v>84</v>
      </c>
      <c r="E51" s="29">
        <v>62</v>
      </c>
      <c r="F51" s="29">
        <v>45</v>
      </c>
      <c r="G51" s="29">
        <v>11</v>
      </c>
      <c r="H51" s="30">
        <v>1</v>
      </c>
      <c r="I51" s="170">
        <v>2</v>
      </c>
      <c r="J51" s="83" t="str">
        <f>A55</f>
        <v>住宅地域(n = 935 )　　</v>
      </c>
      <c r="K51" s="88">
        <f t="shared" ref="K51" si="67">C56</f>
        <v>24.385026737967912</v>
      </c>
      <c r="L51" s="89">
        <f t="shared" ref="L51" si="68">D56</f>
        <v>50.588235294117645</v>
      </c>
      <c r="M51" s="90">
        <f t="shared" ref="M51" si="69">E56</f>
        <v>17.005347593582886</v>
      </c>
      <c r="N51" s="89">
        <f t="shared" ref="N51" si="70">F56</f>
        <v>6.8449197860962565</v>
      </c>
      <c r="O51" s="90">
        <f t="shared" ref="O51" si="71">G56</f>
        <v>1.1764705882352942</v>
      </c>
      <c r="P51" s="91">
        <f t="shared" ref="P51" si="72">H56</f>
        <v>0</v>
      </c>
      <c r="Q51" s="24">
        <f t="shared" si="65"/>
        <v>74.973262032085557</v>
      </c>
      <c r="R51" s="24">
        <f t="shared" si="56"/>
        <v>8.0213903743315509</v>
      </c>
      <c r="S51" s="25">
        <f t="shared" si="66"/>
        <v>66.951871657754012</v>
      </c>
    </row>
    <row r="52" spans="1:19" ht="13.5" customHeight="1" x14ac:dyDescent="0.2">
      <c r="A52" s="274"/>
      <c r="B52" s="20">
        <f>B51/$B$47*100</f>
        <v>15.222772277227723</v>
      </c>
      <c r="C52" s="20">
        <f t="shared" ref="C52" si="73">C51/$B51*100</f>
        <v>17.479674796747968</v>
      </c>
      <c r="D52" s="207">
        <f t="shared" ref="D52" si="74">D51/$B51*100</f>
        <v>34.146341463414636</v>
      </c>
      <c r="E52" s="207">
        <f t="shared" ref="E52" si="75">E51/$B51*100</f>
        <v>25.203252032520325</v>
      </c>
      <c r="F52" s="207">
        <f t="shared" ref="F52" si="76">F51/$B51*100</f>
        <v>18.292682926829269</v>
      </c>
      <c r="G52" s="207">
        <f t="shared" ref="G52" si="77">G51/$B51*100</f>
        <v>4.4715447154471546</v>
      </c>
      <c r="H52" s="208">
        <f t="shared" ref="H52" si="78">H51/$B51*100</f>
        <v>0.40650406504065045</v>
      </c>
      <c r="J52" s="69" t="str">
        <f>A57</f>
        <v>その他(n = 28 )　　</v>
      </c>
      <c r="K52" s="78">
        <f t="shared" ref="K52" si="79">C58</f>
        <v>17.857142857142858</v>
      </c>
      <c r="L52" s="79">
        <f t="shared" ref="L52" si="80">D58</f>
        <v>42.857142857142854</v>
      </c>
      <c r="M52" s="80">
        <f t="shared" ref="M52" si="81">E58</f>
        <v>25</v>
      </c>
      <c r="N52" s="79">
        <f t="shared" ref="N52" si="82">F58</f>
        <v>14.285714285714285</v>
      </c>
      <c r="O52" s="80">
        <f t="shared" ref="O52" si="83">G58</f>
        <v>0</v>
      </c>
      <c r="P52" s="81">
        <f t="shared" ref="P52" si="84">H58</f>
        <v>0</v>
      </c>
      <c r="Q52" s="24">
        <f t="shared" si="65"/>
        <v>60.714285714285708</v>
      </c>
      <c r="R52" s="24">
        <f t="shared" si="56"/>
        <v>14.285714285714285</v>
      </c>
      <c r="S52" s="25">
        <f t="shared" si="66"/>
        <v>46.428571428571423</v>
      </c>
    </row>
    <row r="53" spans="1:19" ht="13.5" customHeight="1" x14ac:dyDescent="0.2">
      <c r="A53" s="273" t="str">
        <f>"商業地域(n = 35 )　　"</f>
        <v>商業地域(n = 35 )　　</v>
      </c>
      <c r="B53" s="34">
        <f>SUM(C53:H53)</f>
        <v>35</v>
      </c>
      <c r="C53" s="28">
        <v>11</v>
      </c>
      <c r="D53" s="29">
        <v>16</v>
      </c>
      <c r="E53" s="29">
        <v>6</v>
      </c>
      <c r="F53" s="29">
        <v>1</v>
      </c>
      <c r="G53" s="29">
        <v>1</v>
      </c>
      <c r="H53" s="30">
        <v>0</v>
      </c>
      <c r="I53" s="170">
        <v>3</v>
      </c>
      <c r="Q53" s="24"/>
      <c r="R53" s="24"/>
      <c r="S53" s="25"/>
    </row>
    <row r="54" spans="1:19" x14ac:dyDescent="0.2">
      <c r="A54" s="274"/>
      <c r="B54" s="20">
        <f>B53/$B$47*100</f>
        <v>2.1658415841584158</v>
      </c>
      <c r="C54" s="20">
        <f t="shared" ref="C54" si="85">C53/$B53*100</f>
        <v>31.428571428571427</v>
      </c>
      <c r="D54" s="207">
        <f t="shared" ref="D54" si="86">D53/$B53*100</f>
        <v>45.714285714285715</v>
      </c>
      <c r="E54" s="207">
        <f t="shared" ref="E54" si="87">E53/$B53*100</f>
        <v>17.142857142857142</v>
      </c>
      <c r="F54" s="207">
        <f t="shared" ref="F54" si="88">F53/$B53*100</f>
        <v>2.8571428571428572</v>
      </c>
      <c r="G54" s="207">
        <f t="shared" ref="G54" si="89">G53/$B53*100</f>
        <v>2.8571428571428572</v>
      </c>
      <c r="H54" s="208">
        <f t="shared" ref="H54" si="90">H53/$B53*100</f>
        <v>0</v>
      </c>
    </row>
    <row r="55" spans="1:19" ht="13.5" customHeight="1" x14ac:dyDescent="0.2">
      <c r="A55" s="273" t="str">
        <f>"住宅地域(n = 935 )　　"</f>
        <v>住宅地域(n = 935 )　　</v>
      </c>
      <c r="B55" s="34">
        <f>SUM(C55:H55)</f>
        <v>935</v>
      </c>
      <c r="C55" s="28">
        <v>228</v>
      </c>
      <c r="D55" s="29">
        <v>473</v>
      </c>
      <c r="E55" s="29">
        <v>159</v>
      </c>
      <c r="F55" s="29">
        <v>64</v>
      </c>
      <c r="G55" s="29">
        <v>11</v>
      </c>
      <c r="H55" s="30">
        <v>0</v>
      </c>
      <c r="I55" s="170">
        <v>4</v>
      </c>
    </row>
    <row r="56" spans="1:19" x14ac:dyDescent="0.2">
      <c r="A56" s="274"/>
      <c r="B56" s="20">
        <f>B55/$B$47*100</f>
        <v>57.85891089108911</v>
      </c>
      <c r="C56" s="20">
        <f t="shared" ref="C56" si="91">C55/$B55*100</f>
        <v>24.385026737967912</v>
      </c>
      <c r="D56" s="207">
        <f t="shared" ref="D56" si="92">D55/$B55*100</f>
        <v>50.588235294117645</v>
      </c>
      <c r="E56" s="207">
        <f t="shared" ref="E56" si="93">E55/$B55*100</f>
        <v>17.005347593582886</v>
      </c>
      <c r="F56" s="207">
        <f t="shared" ref="F56" si="94">F55/$B55*100</f>
        <v>6.8449197860962565</v>
      </c>
      <c r="G56" s="207">
        <f t="shared" ref="G56" si="95">G55/$B55*100</f>
        <v>1.1764705882352942</v>
      </c>
      <c r="H56" s="208">
        <f t="shared" ref="H56" si="96">H55/$B55*100</f>
        <v>0</v>
      </c>
    </row>
    <row r="57" spans="1:19" ht="13.5" customHeight="1" x14ac:dyDescent="0.2">
      <c r="A57" s="273" t="str">
        <f>"その他(n = 28 )　　"</f>
        <v>その他(n = 28 )　　</v>
      </c>
      <c r="B57" s="34">
        <f>SUM(C57:H57)</f>
        <v>28</v>
      </c>
      <c r="C57" s="28">
        <v>5</v>
      </c>
      <c r="D57" s="29">
        <v>12</v>
      </c>
      <c r="E57" s="29">
        <v>7</v>
      </c>
      <c r="F57" s="29">
        <v>4</v>
      </c>
      <c r="G57" s="29">
        <v>0</v>
      </c>
      <c r="H57" s="30">
        <v>0</v>
      </c>
      <c r="I57" s="170">
        <v>5</v>
      </c>
    </row>
    <row r="58" spans="1:19" x14ac:dyDescent="0.2">
      <c r="A58" s="274"/>
      <c r="B58" s="20">
        <f>B57/$B$47*100</f>
        <v>1.7326732673267329</v>
      </c>
      <c r="C58" s="20">
        <f t="shared" ref="C58" si="97">C57/$B57*100</f>
        <v>17.857142857142858</v>
      </c>
      <c r="D58" s="207">
        <f t="shared" ref="D58" si="98">D57/$B57*100</f>
        <v>42.857142857142854</v>
      </c>
      <c r="E58" s="207">
        <f t="shared" ref="E58" si="99">E57/$B57*100</f>
        <v>25</v>
      </c>
      <c r="F58" s="207">
        <f t="shared" ref="F58" si="100">F57/$B57*100</f>
        <v>14.285714285714285</v>
      </c>
      <c r="G58" s="207">
        <f t="shared" ref="G58" si="101">G57/$B57*100</f>
        <v>0</v>
      </c>
      <c r="H58" s="208">
        <f t="shared" ref="H58" si="102">H57/$B57*100</f>
        <v>0</v>
      </c>
    </row>
  </sheetData>
  <mergeCells count="23">
    <mergeCell ref="A57:A58"/>
    <mergeCell ref="A42:A43"/>
    <mergeCell ref="A32:A33"/>
    <mergeCell ref="A34:A35"/>
    <mergeCell ref="A36:A37"/>
    <mergeCell ref="A38:A39"/>
    <mergeCell ref="A40:A41"/>
    <mergeCell ref="A47:A48"/>
    <mergeCell ref="A49:A50"/>
    <mergeCell ref="A51:A52"/>
    <mergeCell ref="A53:A54"/>
    <mergeCell ref="A55:A56"/>
    <mergeCell ref="A27:A28"/>
    <mergeCell ref="A3:A4"/>
    <mergeCell ref="A5:A6"/>
    <mergeCell ref="A7:A8"/>
    <mergeCell ref="A13:A14"/>
    <mergeCell ref="A17:A18"/>
    <mergeCell ref="A19:A20"/>
    <mergeCell ref="A21:A22"/>
    <mergeCell ref="A23:A24"/>
    <mergeCell ref="A25:A26"/>
    <mergeCell ref="A15:A1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AE88"/>
  <sheetViews>
    <sheetView topLeftCell="A73" zoomScaleNormal="100" workbookViewId="0"/>
  </sheetViews>
  <sheetFormatPr defaultRowHeight="13.2" x14ac:dyDescent="0.2"/>
  <sheetData>
    <row r="1" spans="1:31" x14ac:dyDescent="0.2">
      <c r="A1" s="3" t="s">
        <v>168</v>
      </c>
      <c r="B1" s="1" t="s">
        <v>130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1" ht="67.5" customHeight="1" x14ac:dyDescent="0.2">
      <c r="A2" s="12" t="s">
        <v>20</v>
      </c>
      <c r="B2" s="59" t="s">
        <v>3</v>
      </c>
      <c r="C2" s="60" t="s">
        <v>131</v>
      </c>
      <c r="D2" s="61" t="s">
        <v>132</v>
      </c>
      <c r="E2" s="61" t="s">
        <v>182</v>
      </c>
      <c r="F2" s="61" t="s">
        <v>133</v>
      </c>
      <c r="G2" s="61" t="s">
        <v>134</v>
      </c>
      <c r="H2" s="61" t="s">
        <v>100</v>
      </c>
      <c r="I2" s="61" t="s">
        <v>135</v>
      </c>
      <c r="J2" s="61" t="s">
        <v>136</v>
      </c>
      <c r="K2" s="61" t="s">
        <v>137</v>
      </c>
      <c r="L2" s="61" t="s">
        <v>153</v>
      </c>
      <c r="M2" s="61" t="s">
        <v>138</v>
      </c>
      <c r="N2" s="61" t="s">
        <v>101</v>
      </c>
      <c r="O2" s="61" t="s">
        <v>58</v>
      </c>
      <c r="P2" s="63"/>
      <c r="Q2" s="103" t="s">
        <v>118</v>
      </c>
    </row>
    <row r="3" spans="1:31" ht="13.5" customHeight="1" x14ac:dyDescent="0.2">
      <c r="A3" s="297" t="str">
        <f>"全体(n = "&amp;B3&amp;" )　　"</f>
        <v>全体(n = 1087 )　　</v>
      </c>
      <c r="B3" s="34">
        <f t="shared" ref="B3:O3" si="0">SUM(B5,B7)</f>
        <v>1087</v>
      </c>
      <c r="C3" s="31">
        <f t="shared" si="0"/>
        <v>576</v>
      </c>
      <c r="D3" s="32">
        <f t="shared" si="0"/>
        <v>127</v>
      </c>
      <c r="E3" s="32">
        <f t="shared" si="0"/>
        <v>319</v>
      </c>
      <c r="F3" s="32">
        <f t="shared" si="0"/>
        <v>553</v>
      </c>
      <c r="G3" s="32">
        <f t="shared" si="0"/>
        <v>308</v>
      </c>
      <c r="H3" s="32">
        <f t="shared" si="0"/>
        <v>25</v>
      </c>
      <c r="I3" s="32">
        <f t="shared" si="0"/>
        <v>46</v>
      </c>
      <c r="J3" s="32">
        <f t="shared" si="0"/>
        <v>143</v>
      </c>
      <c r="K3" s="32">
        <f t="shared" si="0"/>
        <v>126</v>
      </c>
      <c r="L3" s="32">
        <f t="shared" si="0"/>
        <v>524</v>
      </c>
      <c r="M3" s="32">
        <f t="shared" si="0"/>
        <v>561</v>
      </c>
      <c r="N3" s="32">
        <f t="shared" si="0"/>
        <v>24</v>
      </c>
      <c r="O3" s="32">
        <f t="shared" si="0"/>
        <v>17</v>
      </c>
      <c r="P3" s="33"/>
      <c r="Q3" s="104">
        <f>SUM($C3:P3)</f>
        <v>3349</v>
      </c>
      <c r="R3" s="166"/>
    </row>
    <row r="4" spans="1:31" x14ac:dyDescent="0.2">
      <c r="A4" s="298"/>
      <c r="B4" s="35"/>
      <c r="C4" s="20">
        <f>C3/$B3*100</f>
        <v>52.989880404783804</v>
      </c>
      <c r="D4" s="207">
        <f t="shared" ref="D4:O4" si="1">D3/$B3*100</f>
        <v>11.683532658693652</v>
      </c>
      <c r="E4" s="207">
        <f t="shared" si="1"/>
        <v>29.346826126954923</v>
      </c>
      <c r="F4" s="207">
        <f t="shared" si="1"/>
        <v>50.873965041398336</v>
      </c>
      <c r="G4" s="207">
        <f t="shared" si="1"/>
        <v>28.334866605335783</v>
      </c>
      <c r="H4" s="207">
        <f t="shared" si="1"/>
        <v>2.2999080036798527</v>
      </c>
      <c r="I4" s="207">
        <f t="shared" si="1"/>
        <v>4.2318307267709292</v>
      </c>
      <c r="J4" s="207">
        <f t="shared" si="1"/>
        <v>13.155473781048757</v>
      </c>
      <c r="K4" s="207">
        <f t="shared" si="1"/>
        <v>11.591536338546458</v>
      </c>
      <c r="L4" s="207">
        <f t="shared" si="1"/>
        <v>48.206071757129713</v>
      </c>
      <c r="M4" s="207">
        <f t="shared" si="1"/>
        <v>51.609935602575895</v>
      </c>
      <c r="N4" s="207">
        <f t="shared" si="1"/>
        <v>2.2079116835326587</v>
      </c>
      <c r="O4" s="207">
        <f t="shared" si="1"/>
        <v>1.5639374425023</v>
      </c>
      <c r="P4" s="208"/>
      <c r="Q4" s="104"/>
    </row>
    <row r="5" spans="1:31" ht="13.5" customHeight="1" x14ac:dyDescent="0.2">
      <c r="A5" s="297" t="str">
        <f>"男性(n = "&amp;B5&amp;" )　　"</f>
        <v>男性(n = 484 )　　</v>
      </c>
      <c r="B5" s="34">
        <v>484</v>
      </c>
      <c r="C5" s="28">
        <v>250</v>
      </c>
      <c r="D5" s="29">
        <v>63</v>
      </c>
      <c r="E5" s="29">
        <v>122</v>
      </c>
      <c r="F5" s="29">
        <v>235</v>
      </c>
      <c r="G5" s="29">
        <v>140</v>
      </c>
      <c r="H5" s="29">
        <v>11</v>
      </c>
      <c r="I5" s="29">
        <v>19</v>
      </c>
      <c r="J5" s="29">
        <v>55</v>
      </c>
      <c r="K5" s="29">
        <v>59</v>
      </c>
      <c r="L5" s="29">
        <v>235</v>
      </c>
      <c r="M5" s="29">
        <v>255</v>
      </c>
      <c r="N5" s="29">
        <v>12</v>
      </c>
      <c r="O5" s="29">
        <v>13</v>
      </c>
      <c r="P5" s="30"/>
      <c r="Q5" s="104">
        <f>SUM($C5:P5)</f>
        <v>1469</v>
      </c>
      <c r="R5" t="str">
        <f>" 男性（N = "&amp;Q6&amp;" : n = "&amp;B5&amp;"）"</f>
        <v xml:space="preserve"> 男性（N = 1,469 : n = 484）</v>
      </c>
    </row>
    <row r="6" spans="1:31" x14ac:dyDescent="0.2">
      <c r="A6" s="298"/>
      <c r="B6" s="20">
        <f>B5/$B$3*100</f>
        <v>44.526218951241951</v>
      </c>
      <c r="C6" s="20">
        <f>C5/$B5*100</f>
        <v>51.652892561983464</v>
      </c>
      <c r="D6" s="207">
        <f t="shared" ref="D6:O6" si="2">D5/$B5*100</f>
        <v>13.016528925619836</v>
      </c>
      <c r="E6" s="207">
        <f t="shared" si="2"/>
        <v>25.206611570247933</v>
      </c>
      <c r="F6" s="207">
        <f t="shared" si="2"/>
        <v>48.553719008264466</v>
      </c>
      <c r="G6" s="207">
        <f t="shared" si="2"/>
        <v>28.925619834710741</v>
      </c>
      <c r="H6" s="207">
        <f t="shared" si="2"/>
        <v>2.2727272727272729</v>
      </c>
      <c r="I6" s="207">
        <f t="shared" si="2"/>
        <v>3.9256198347107438</v>
      </c>
      <c r="J6" s="207">
        <f t="shared" si="2"/>
        <v>11.363636363636363</v>
      </c>
      <c r="K6" s="207">
        <f t="shared" si="2"/>
        <v>12.190082644628099</v>
      </c>
      <c r="L6" s="207">
        <f t="shared" si="2"/>
        <v>48.553719008264466</v>
      </c>
      <c r="M6" s="207">
        <f t="shared" si="2"/>
        <v>52.685950413223139</v>
      </c>
      <c r="N6" s="207">
        <f t="shared" si="2"/>
        <v>2.4793388429752068</v>
      </c>
      <c r="O6" s="207">
        <f t="shared" si="2"/>
        <v>2.6859504132231407</v>
      </c>
      <c r="P6" s="208"/>
      <c r="Q6" s="204" t="s">
        <v>275</v>
      </c>
    </row>
    <row r="7" spans="1:31" ht="13.5" customHeight="1" x14ac:dyDescent="0.2">
      <c r="A7" s="297" t="str">
        <f>"女性(n = "&amp;B7&amp;" )　　"</f>
        <v>女性(n = 603 )　　</v>
      </c>
      <c r="B7" s="34">
        <v>603</v>
      </c>
      <c r="C7" s="28">
        <v>326</v>
      </c>
      <c r="D7" s="29">
        <v>64</v>
      </c>
      <c r="E7" s="29">
        <v>197</v>
      </c>
      <c r="F7" s="29">
        <v>318</v>
      </c>
      <c r="G7" s="29">
        <v>168</v>
      </c>
      <c r="H7" s="29">
        <v>14</v>
      </c>
      <c r="I7" s="29">
        <v>27</v>
      </c>
      <c r="J7" s="29">
        <v>88</v>
      </c>
      <c r="K7" s="29">
        <v>67</v>
      </c>
      <c r="L7" s="29">
        <v>289</v>
      </c>
      <c r="M7" s="29">
        <v>306</v>
      </c>
      <c r="N7" s="29">
        <v>12</v>
      </c>
      <c r="O7" s="29">
        <v>4</v>
      </c>
      <c r="P7" s="30"/>
      <c r="Q7" s="104">
        <f>SUM($C7:P7)</f>
        <v>1880</v>
      </c>
      <c r="R7" t="str">
        <f>" 女性（N = "&amp;Q8&amp;" : n = "&amp;B7&amp;"）"</f>
        <v xml:space="preserve"> 女性（N = 1,880 : n = 603）</v>
      </c>
    </row>
    <row r="8" spans="1:31" x14ac:dyDescent="0.2">
      <c r="A8" s="298"/>
      <c r="B8" s="20">
        <f>B7/$B$3*100</f>
        <v>55.473781048758056</v>
      </c>
      <c r="C8" s="20">
        <f t="shared" ref="C8:O8" si="3">C7/$B7*100</f>
        <v>54.063018242122716</v>
      </c>
      <c r="D8" s="207">
        <f t="shared" si="3"/>
        <v>10.613598673300165</v>
      </c>
      <c r="E8" s="207">
        <f t="shared" si="3"/>
        <v>32.669983416252073</v>
      </c>
      <c r="F8" s="207">
        <f t="shared" si="3"/>
        <v>52.736318407960205</v>
      </c>
      <c r="G8" s="207">
        <f t="shared" si="3"/>
        <v>27.860696517412936</v>
      </c>
      <c r="H8" s="207">
        <f t="shared" si="3"/>
        <v>2.3217247097844109</v>
      </c>
      <c r="I8" s="207">
        <f t="shared" si="3"/>
        <v>4.4776119402985071</v>
      </c>
      <c r="J8" s="207">
        <f t="shared" si="3"/>
        <v>14.593698175787729</v>
      </c>
      <c r="K8" s="207">
        <f t="shared" si="3"/>
        <v>11.111111111111111</v>
      </c>
      <c r="L8" s="207">
        <f t="shared" si="3"/>
        <v>47.927031509121058</v>
      </c>
      <c r="M8" s="207">
        <f t="shared" si="3"/>
        <v>50.746268656716417</v>
      </c>
      <c r="N8" s="207">
        <f t="shared" si="3"/>
        <v>1.9900497512437811</v>
      </c>
      <c r="O8" s="207">
        <f t="shared" si="3"/>
        <v>0.66334991708126034</v>
      </c>
      <c r="P8" s="208"/>
      <c r="Q8" s="204" t="s">
        <v>276</v>
      </c>
    </row>
    <row r="9" spans="1:31" s="186" customFormat="1" x14ac:dyDescent="0.2">
      <c r="A9" s="184"/>
      <c r="B9" s="182"/>
      <c r="C9" s="172">
        <f>_xlfn.RANK.EQ(C4,$C$4:$P$4,0)</f>
        <v>1</v>
      </c>
      <c r="D9" s="172">
        <f t="shared" ref="D9:P9" si="4">_xlfn.RANK.EQ(D4,$C$4:$P$4,0)</f>
        <v>8</v>
      </c>
      <c r="E9" s="172">
        <f t="shared" si="4"/>
        <v>5</v>
      </c>
      <c r="F9" s="172">
        <f t="shared" si="4"/>
        <v>3</v>
      </c>
      <c r="G9" s="172">
        <f t="shared" si="4"/>
        <v>6</v>
      </c>
      <c r="H9" s="172">
        <f t="shared" si="4"/>
        <v>11</v>
      </c>
      <c r="I9" s="172">
        <f t="shared" si="4"/>
        <v>10</v>
      </c>
      <c r="J9" s="172">
        <f t="shared" si="4"/>
        <v>7</v>
      </c>
      <c r="K9" s="172">
        <f t="shared" si="4"/>
        <v>9</v>
      </c>
      <c r="L9" s="172">
        <f t="shared" si="4"/>
        <v>4</v>
      </c>
      <c r="M9" s="172">
        <f t="shared" si="4"/>
        <v>2</v>
      </c>
      <c r="N9" s="172">
        <f t="shared" si="4"/>
        <v>12</v>
      </c>
      <c r="O9" s="172">
        <f t="shared" si="4"/>
        <v>13</v>
      </c>
      <c r="P9" s="172" t="e">
        <f t="shared" si="4"/>
        <v>#N/A</v>
      </c>
      <c r="Q9" s="185" t="s">
        <v>247</v>
      </c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f t="shared" ref="M11" si="5">_xlfn.RANK.EQ(M$14,$C$14:$M$14,0)</f>
        <v>11</v>
      </c>
      <c r="N11" s="27">
        <v>12</v>
      </c>
      <c r="O11" s="27">
        <v>13</v>
      </c>
      <c r="P11" s="27">
        <v>14</v>
      </c>
      <c r="R11" s="45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59" t="str">
        <f>B2</f>
        <v>調査数</v>
      </c>
      <c r="C12" s="60" t="s">
        <v>131</v>
      </c>
      <c r="D12" s="61" t="s">
        <v>138</v>
      </c>
      <c r="E12" s="61" t="s">
        <v>133</v>
      </c>
      <c r="F12" s="61" t="s">
        <v>179</v>
      </c>
      <c r="G12" s="61" t="s">
        <v>182</v>
      </c>
      <c r="H12" s="61" t="s">
        <v>134</v>
      </c>
      <c r="I12" s="61" t="s">
        <v>136</v>
      </c>
      <c r="J12" s="61" t="s">
        <v>132</v>
      </c>
      <c r="K12" s="61" t="s">
        <v>137</v>
      </c>
      <c r="L12" s="61" t="s">
        <v>135</v>
      </c>
      <c r="M12" s="61" t="s">
        <v>100</v>
      </c>
      <c r="N12" s="61" t="s">
        <v>101</v>
      </c>
      <c r="O12" s="61" t="s">
        <v>58</v>
      </c>
      <c r="P12" s="63"/>
      <c r="Q12" s="44" t="s">
        <v>32</v>
      </c>
      <c r="R12" s="12" t="str">
        <f>A12</f>
        <v>【性別】</v>
      </c>
      <c r="S12" s="60" t="str">
        <f t="shared" ref="S12:AE12" si="6">C12</f>
        <v>自然が豊かである</v>
      </c>
      <c r="T12" s="61" t="str">
        <f t="shared" si="6"/>
        <v>災害が少ない</v>
      </c>
      <c r="U12" s="61" t="str">
        <f t="shared" si="6"/>
        <v>食事、買い物が便利である</v>
      </c>
      <c r="V12" s="61" t="str">
        <f t="shared" si="6"/>
        <v>治安がよい</v>
      </c>
      <c r="W12" s="61" t="str">
        <f t="shared" si="6"/>
        <v>　　　ウォーキングなど気軽に
体を動かせる場が近くにある</v>
      </c>
      <c r="X12" s="61" t="str">
        <f t="shared" si="6"/>
        <v>交通の便がよい</v>
      </c>
      <c r="Y12" s="61" t="str">
        <f t="shared" si="6"/>
        <v>医療、福祉サービスが充実している</v>
      </c>
      <c r="Z12" s="61" t="str">
        <f t="shared" si="6"/>
        <v>町並みなどの景観がよい</v>
      </c>
      <c r="AA12" s="61" t="str">
        <f t="shared" si="6"/>
        <v>住民相互の交流がある</v>
      </c>
      <c r="AB12" s="61" t="str">
        <f t="shared" si="6"/>
        <v>教育、文化、スポーツの施設が充実している</v>
      </c>
      <c r="AC12" s="61" t="str">
        <f t="shared" si="6"/>
        <v>働く場が多い</v>
      </c>
      <c r="AD12" s="61" t="str">
        <f t="shared" si="6"/>
        <v>その他</v>
      </c>
      <c r="AE12" s="63" t="str">
        <f t="shared" si="6"/>
        <v>特にない</v>
      </c>
    </row>
    <row r="13" spans="1:31" ht="12.75" customHeight="1" x14ac:dyDescent="0.2">
      <c r="A13" s="269" t="str">
        <f>A3</f>
        <v>全体(n = 1087 )　　</v>
      </c>
      <c r="B13" s="113">
        <f>B3</f>
        <v>1087</v>
      </c>
      <c r="C13" s="121">
        <v>576</v>
      </c>
      <c r="D13" s="122">
        <v>561</v>
      </c>
      <c r="E13" s="122">
        <v>553</v>
      </c>
      <c r="F13" s="122">
        <v>524</v>
      </c>
      <c r="G13" s="122">
        <v>319</v>
      </c>
      <c r="H13" s="122">
        <v>308</v>
      </c>
      <c r="I13" s="122">
        <v>143</v>
      </c>
      <c r="J13" s="122">
        <v>127</v>
      </c>
      <c r="K13" s="122">
        <v>126</v>
      </c>
      <c r="L13" s="122">
        <v>46</v>
      </c>
      <c r="M13" s="122">
        <v>25</v>
      </c>
      <c r="N13" s="122">
        <v>24</v>
      </c>
      <c r="O13" s="122">
        <v>17</v>
      </c>
      <c r="P13" s="124"/>
      <c r="R13" s="93" t="str">
        <f>A15</f>
        <v>男性(n = 484 )　　</v>
      </c>
      <c r="S13" s="74">
        <f t="shared" ref="S13:AE13" si="7">C16</f>
        <v>51.652892561983464</v>
      </c>
      <c r="T13" s="75">
        <f t="shared" si="7"/>
        <v>52.685950413223139</v>
      </c>
      <c r="U13" s="75">
        <f t="shared" si="7"/>
        <v>48.553719008264466</v>
      </c>
      <c r="V13" s="75">
        <f t="shared" si="7"/>
        <v>48.553719008264466</v>
      </c>
      <c r="W13" s="75">
        <f t="shared" si="7"/>
        <v>25.206611570247933</v>
      </c>
      <c r="X13" s="75">
        <f t="shared" si="7"/>
        <v>28.925619834710741</v>
      </c>
      <c r="Y13" s="75">
        <f t="shared" si="7"/>
        <v>11.363636363636363</v>
      </c>
      <c r="Z13" s="75">
        <f t="shared" si="7"/>
        <v>13.016528925619836</v>
      </c>
      <c r="AA13" s="75">
        <f t="shared" si="7"/>
        <v>12.190082644628099</v>
      </c>
      <c r="AB13" s="75">
        <f t="shared" si="7"/>
        <v>3.9256198347107438</v>
      </c>
      <c r="AC13" s="75">
        <f t="shared" si="7"/>
        <v>2.2727272727272729</v>
      </c>
      <c r="AD13" s="75">
        <f t="shared" si="7"/>
        <v>2.4793388429752068</v>
      </c>
      <c r="AE13" s="77">
        <f t="shared" si="7"/>
        <v>2.6859504132231407</v>
      </c>
    </row>
    <row r="14" spans="1:31" ht="12.75" customHeight="1" x14ac:dyDescent="0.2">
      <c r="A14" s="270"/>
      <c r="B14" s="114">
        <f>B4</f>
        <v>0</v>
      </c>
      <c r="C14" s="125">
        <v>52.989880404783804</v>
      </c>
      <c r="D14" s="126">
        <v>51.609935602575895</v>
      </c>
      <c r="E14" s="126">
        <v>50.873965041398336</v>
      </c>
      <c r="F14" s="126">
        <v>48.206071757129713</v>
      </c>
      <c r="G14" s="126">
        <v>29.346826126954923</v>
      </c>
      <c r="H14" s="126">
        <v>28.334866605335783</v>
      </c>
      <c r="I14" s="126">
        <v>13.155473781048757</v>
      </c>
      <c r="J14" s="126">
        <v>11.683532658693652</v>
      </c>
      <c r="K14" s="126">
        <v>11.591536338546458</v>
      </c>
      <c r="L14" s="126">
        <v>4.2318307267709292</v>
      </c>
      <c r="M14" s="126">
        <v>2.2999080036798527</v>
      </c>
      <c r="N14" s="126">
        <v>2.2079116835326587</v>
      </c>
      <c r="O14" s="126">
        <v>1.5639374425023</v>
      </c>
      <c r="P14" s="128"/>
      <c r="R14" s="94" t="str">
        <f>A17</f>
        <v>女性(n = 603 )　　</v>
      </c>
      <c r="S14" s="78">
        <f t="shared" ref="S14:AE14" si="8">C18</f>
        <v>54.063018242122716</v>
      </c>
      <c r="T14" s="79">
        <f t="shared" si="8"/>
        <v>50.746268656716417</v>
      </c>
      <c r="U14" s="79">
        <f t="shared" si="8"/>
        <v>52.736318407960205</v>
      </c>
      <c r="V14" s="79">
        <f t="shared" si="8"/>
        <v>47.927031509121058</v>
      </c>
      <c r="W14" s="79">
        <f t="shared" si="8"/>
        <v>32.669983416252073</v>
      </c>
      <c r="X14" s="79">
        <f t="shared" si="8"/>
        <v>27.860696517412936</v>
      </c>
      <c r="Y14" s="79">
        <f t="shared" si="8"/>
        <v>14.593698175787729</v>
      </c>
      <c r="Z14" s="79">
        <f t="shared" si="8"/>
        <v>10.613598673300165</v>
      </c>
      <c r="AA14" s="79">
        <f t="shared" si="8"/>
        <v>11.111111111111111</v>
      </c>
      <c r="AB14" s="79">
        <f t="shared" si="8"/>
        <v>4.4776119402985071</v>
      </c>
      <c r="AC14" s="79">
        <f t="shared" si="8"/>
        <v>2.3217247097844109</v>
      </c>
      <c r="AD14" s="79">
        <f t="shared" si="8"/>
        <v>1.9900497512437811</v>
      </c>
      <c r="AE14" s="81">
        <f t="shared" si="8"/>
        <v>0.66334991708126034</v>
      </c>
    </row>
    <row r="15" spans="1:31" x14ac:dyDescent="0.2">
      <c r="A15" s="269" t="str">
        <f>A5</f>
        <v>男性(n = 484 )　　</v>
      </c>
      <c r="B15" s="113">
        <f>B5</f>
        <v>484</v>
      </c>
      <c r="C15" s="129">
        <v>250</v>
      </c>
      <c r="D15" s="130">
        <v>255</v>
      </c>
      <c r="E15" s="130">
        <v>235</v>
      </c>
      <c r="F15" s="130">
        <v>235</v>
      </c>
      <c r="G15" s="130">
        <v>122</v>
      </c>
      <c r="H15" s="130">
        <v>140</v>
      </c>
      <c r="I15" s="130">
        <v>55</v>
      </c>
      <c r="J15" s="130">
        <v>63</v>
      </c>
      <c r="K15" s="130">
        <v>59</v>
      </c>
      <c r="L15" s="130">
        <v>19</v>
      </c>
      <c r="M15" s="130">
        <v>11</v>
      </c>
      <c r="N15" s="130">
        <v>12</v>
      </c>
      <c r="O15" s="130">
        <v>13</v>
      </c>
      <c r="P15" s="131"/>
    </row>
    <row r="16" spans="1:31" x14ac:dyDescent="0.2">
      <c r="A16" s="270"/>
      <c r="B16" s="114">
        <f>B6</f>
        <v>44.526218951241951</v>
      </c>
      <c r="C16" s="125">
        <v>51.652892561983464</v>
      </c>
      <c r="D16" s="126">
        <v>52.685950413223139</v>
      </c>
      <c r="E16" s="126">
        <v>48.553719008264466</v>
      </c>
      <c r="F16" s="126">
        <v>48.553719008264466</v>
      </c>
      <c r="G16" s="126">
        <v>25.206611570247933</v>
      </c>
      <c r="H16" s="126">
        <v>28.925619834710741</v>
      </c>
      <c r="I16" s="126">
        <v>11.363636363636363</v>
      </c>
      <c r="J16" s="126">
        <v>13.016528925619836</v>
      </c>
      <c r="K16" s="126">
        <v>12.190082644628099</v>
      </c>
      <c r="L16" s="126">
        <v>3.9256198347107438</v>
      </c>
      <c r="M16" s="126">
        <v>2.2727272727272729</v>
      </c>
      <c r="N16" s="126">
        <v>2.4793388429752068</v>
      </c>
      <c r="O16" s="126">
        <v>2.6859504132231407</v>
      </c>
      <c r="P16" s="128"/>
    </row>
    <row r="17" spans="1:18" x14ac:dyDescent="0.2">
      <c r="A17" s="269" t="str">
        <f>A7</f>
        <v>女性(n = 603 )　　</v>
      </c>
      <c r="B17" s="113">
        <f>B7</f>
        <v>603</v>
      </c>
      <c r="C17" s="129">
        <v>326</v>
      </c>
      <c r="D17" s="130">
        <v>306</v>
      </c>
      <c r="E17" s="130">
        <v>318</v>
      </c>
      <c r="F17" s="130">
        <v>289</v>
      </c>
      <c r="G17" s="130">
        <v>197</v>
      </c>
      <c r="H17" s="130">
        <v>168</v>
      </c>
      <c r="I17" s="130">
        <v>88</v>
      </c>
      <c r="J17" s="130">
        <v>64</v>
      </c>
      <c r="K17" s="130">
        <v>67</v>
      </c>
      <c r="L17" s="130">
        <v>27</v>
      </c>
      <c r="M17" s="130">
        <v>14</v>
      </c>
      <c r="N17" s="130">
        <v>12</v>
      </c>
      <c r="O17" s="130">
        <v>4</v>
      </c>
      <c r="P17" s="131"/>
    </row>
    <row r="18" spans="1:18" x14ac:dyDescent="0.2">
      <c r="A18" s="270"/>
      <c r="B18" s="114">
        <f>B8</f>
        <v>55.473781048758056</v>
      </c>
      <c r="C18" s="125">
        <v>54.063018242122716</v>
      </c>
      <c r="D18" s="126">
        <v>50.746268656716417</v>
      </c>
      <c r="E18" s="126">
        <v>52.736318407960205</v>
      </c>
      <c r="F18" s="126">
        <v>47.927031509121058</v>
      </c>
      <c r="G18" s="126">
        <v>32.669983416252073</v>
      </c>
      <c r="H18" s="126">
        <v>27.860696517412936</v>
      </c>
      <c r="I18" s="126">
        <v>14.593698175787729</v>
      </c>
      <c r="J18" s="126">
        <v>10.613598673300165</v>
      </c>
      <c r="K18" s="126">
        <v>11.111111111111111</v>
      </c>
      <c r="L18" s="126">
        <v>4.4776119402985071</v>
      </c>
      <c r="M18" s="126">
        <v>2.3217247097844109</v>
      </c>
      <c r="N18" s="126">
        <v>1.9900497512437811</v>
      </c>
      <c r="O18" s="126">
        <v>0.66334991708126034</v>
      </c>
      <c r="P18" s="128"/>
    </row>
    <row r="20" spans="1:18" x14ac:dyDescent="0.2">
      <c r="A20" s="3" t="s">
        <v>167</v>
      </c>
      <c r="B20" s="1" t="str">
        <f>B1</f>
        <v>住んでいる地域が住みやすいと感じる点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8" ht="67.5" customHeight="1" x14ac:dyDescent="0.2">
      <c r="A21" s="12" t="s">
        <v>59</v>
      </c>
      <c r="B21" s="59" t="str">
        <f>B2</f>
        <v>調査数</v>
      </c>
      <c r="C21" s="60" t="str">
        <f t="shared" ref="C21:O21" si="9">C2</f>
        <v>自然が豊かである</v>
      </c>
      <c r="D21" s="61" t="str">
        <f t="shared" si="9"/>
        <v>町並みなどの景観がよい</v>
      </c>
      <c r="E21" s="61" t="str">
        <f t="shared" si="9"/>
        <v>　　　ウォーキングなど気軽に
体を動かせる場が近くにある</v>
      </c>
      <c r="F21" s="61" t="str">
        <f t="shared" si="9"/>
        <v>食事、買い物が便利である</v>
      </c>
      <c r="G21" s="61" t="str">
        <f t="shared" si="9"/>
        <v>交通の便がよい</v>
      </c>
      <c r="H21" s="61" t="str">
        <f t="shared" si="9"/>
        <v>働く場が多い</v>
      </c>
      <c r="I21" s="61" t="str">
        <f t="shared" si="9"/>
        <v>教育、文化、スポーツの施設が充実している</v>
      </c>
      <c r="J21" s="61" t="str">
        <f t="shared" si="9"/>
        <v>医療、福祉サービスが充実している</v>
      </c>
      <c r="K21" s="61" t="str">
        <f t="shared" si="9"/>
        <v>住民相互の交流がある</v>
      </c>
      <c r="L21" s="61" t="str">
        <f t="shared" si="9"/>
        <v>治安がよい</v>
      </c>
      <c r="M21" s="61" t="str">
        <f t="shared" si="9"/>
        <v>災害が少ない</v>
      </c>
      <c r="N21" s="61" t="str">
        <f t="shared" si="9"/>
        <v>その他</v>
      </c>
      <c r="O21" s="61" t="str">
        <f t="shared" si="9"/>
        <v>特にない</v>
      </c>
      <c r="P21" s="63"/>
      <c r="Q21" s="202" t="s">
        <v>118</v>
      </c>
      <c r="R21" s="202"/>
    </row>
    <row r="22" spans="1:18" ht="13.5" customHeight="1" x14ac:dyDescent="0.2">
      <c r="A22" s="275" t="str">
        <f>A13</f>
        <v>全体(n = 1087 )　　</v>
      </c>
      <c r="B22" s="34">
        <f>SUM(B24,B26,B28,B30,B32,B34,B36)</f>
        <v>1086</v>
      </c>
      <c r="C22" s="28">
        <f>SUM(C24,C26,C28,C30,C32,C34,C36)</f>
        <v>576</v>
      </c>
      <c r="D22" s="29">
        <f t="shared" ref="D22:O22" si="10">SUM(D24,D26,D28,D30,D32,D34,D36)</f>
        <v>127</v>
      </c>
      <c r="E22" s="29">
        <f t="shared" si="10"/>
        <v>321</v>
      </c>
      <c r="F22" s="29">
        <f t="shared" si="10"/>
        <v>552</v>
      </c>
      <c r="G22" s="29">
        <f t="shared" si="10"/>
        <v>306</v>
      </c>
      <c r="H22" s="29">
        <f t="shared" si="10"/>
        <v>25</v>
      </c>
      <c r="I22" s="29">
        <f t="shared" si="10"/>
        <v>45</v>
      </c>
      <c r="J22" s="29">
        <f t="shared" si="10"/>
        <v>143</v>
      </c>
      <c r="K22" s="29">
        <f t="shared" si="10"/>
        <v>128</v>
      </c>
      <c r="L22" s="29">
        <f t="shared" si="10"/>
        <v>524</v>
      </c>
      <c r="M22" s="29">
        <f t="shared" si="10"/>
        <v>561</v>
      </c>
      <c r="N22" s="29">
        <f t="shared" si="10"/>
        <v>24</v>
      </c>
      <c r="O22" s="29">
        <f t="shared" si="10"/>
        <v>17</v>
      </c>
      <c r="P22" s="30"/>
      <c r="Q22" s="104">
        <f>SUM($C22:P22)</f>
        <v>3349</v>
      </c>
      <c r="R22" s="166"/>
    </row>
    <row r="23" spans="1:18" x14ac:dyDescent="0.2">
      <c r="A23" s="276"/>
      <c r="B23" s="35">
        <v>100</v>
      </c>
      <c r="C23" s="20">
        <f t="shared" ref="C23:O23" si="11">C22/$B22*100</f>
        <v>53.038674033149171</v>
      </c>
      <c r="D23" s="207">
        <f t="shared" si="11"/>
        <v>11.694290976058932</v>
      </c>
      <c r="E23" s="207">
        <f t="shared" si="11"/>
        <v>29.55801104972376</v>
      </c>
      <c r="F23" s="207">
        <f t="shared" si="11"/>
        <v>50.828729281767963</v>
      </c>
      <c r="G23" s="207">
        <f t="shared" si="11"/>
        <v>28.176795580110497</v>
      </c>
      <c r="H23" s="207">
        <f t="shared" si="11"/>
        <v>2.3020257826887662</v>
      </c>
      <c r="I23" s="207">
        <f t="shared" si="11"/>
        <v>4.1436464088397784</v>
      </c>
      <c r="J23" s="207">
        <f t="shared" si="11"/>
        <v>13.167587476979742</v>
      </c>
      <c r="K23" s="207">
        <f t="shared" si="11"/>
        <v>11.786372007366483</v>
      </c>
      <c r="L23" s="207">
        <f t="shared" si="11"/>
        <v>48.250460405156538</v>
      </c>
      <c r="M23" s="207">
        <f t="shared" si="11"/>
        <v>51.657458563535904</v>
      </c>
      <c r="N23" s="207">
        <f t="shared" si="11"/>
        <v>2.2099447513812152</v>
      </c>
      <c r="O23" s="207">
        <f t="shared" si="11"/>
        <v>1.5653775322283612</v>
      </c>
      <c r="P23" s="208"/>
      <c r="Q23" s="104"/>
    </row>
    <row r="24" spans="1:18" ht="13.5" customHeight="1" x14ac:dyDescent="0.2">
      <c r="A24" s="297" t="str">
        <f>"18～19歳(n = "&amp;B24&amp;" )　　"</f>
        <v>18～19歳(n = 14 )　　</v>
      </c>
      <c r="B24" s="34">
        <v>14</v>
      </c>
      <c r="C24" s="31">
        <v>9</v>
      </c>
      <c r="D24" s="32">
        <v>0</v>
      </c>
      <c r="E24" s="32">
        <v>2</v>
      </c>
      <c r="F24" s="32">
        <v>2</v>
      </c>
      <c r="G24" s="32">
        <v>2</v>
      </c>
      <c r="H24" s="32">
        <v>1</v>
      </c>
      <c r="I24" s="32">
        <v>0</v>
      </c>
      <c r="J24" s="32">
        <v>1</v>
      </c>
      <c r="K24" s="32">
        <v>2</v>
      </c>
      <c r="L24" s="32">
        <v>10</v>
      </c>
      <c r="M24" s="32">
        <v>6</v>
      </c>
      <c r="N24" s="32">
        <v>0</v>
      </c>
      <c r="O24" s="32">
        <v>0</v>
      </c>
      <c r="P24" s="30"/>
      <c r="Q24" s="104">
        <f>SUM($C24:P24)</f>
        <v>35</v>
      </c>
      <c r="R24" t="str">
        <f>" 18～19歳（N = "&amp;Q24&amp;" : n = "&amp;B24&amp;"）"</f>
        <v xml:space="preserve"> 18～19歳（N = 35 : n = 14）</v>
      </c>
    </row>
    <row r="25" spans="1:18" x14ac:dyDescent="0.2">
      <c r="A25" s="298"/>
      <c r="B25" s="20">
        <f>B24/$B$22*100</f>
        <v>1.2891344383057091</v>
      </c>
      <c r="C25" s="20">
        <f t="shared" ref="C25:O25" si="12">C24/$B24*100</f>
        <v>64.285714285714292</v>
      </c>
      <c r="D25" s="207">
        <f t="shared" si="12"/>
        <v>0</v>
      </c>
      <c r="E25" s="207">
        <f t="shared" si="12"/>
        <v>14.285714285714285</v>
      </c>
      <c r="F25" s="207">
        <f t="shared" si="12"/>
        <v>14.285714285714285</v>
      </c>
      <c r="G25" s="207">
        <f t="shared" si="12"/>
        <v>14.285714285714285</v>
      </c>
      <c r="H25" s="207">
        <f t="shared" si="12"/>
        <v>7.1428571428571423</v>
      </c>
      <c r="I25" s="207">
        <f t="shared" si="12"/>
        <v>0</v>
      </c>
      <c r="J25" s="207">
        <f t="shared" si="12"/>
        <v>7.1428571428571423</v>
      </c>
      <c r="K25" s="207">
        <f t="shared" si="12"/>
        <v>14.285714285714285</v>
      </c>
      <c r="L25" s="207">
        <f t="shared" si="12"/>
        <v>71.428571428571431</v>
      </c>
      <c r="M25" s="207">
        <f t="shared" si="12"/>
        <v>42.857142857142854</v>
      </c>
      <c r="N25" s="207">
        <f t="shared" si="12"/>
        <v>0</v>
      </c>
      <c r="O25" s="207">
        <f t="shared" si="12"/>
        <v>0</v>
      </c>
      <c r="P25" s="208"/>
      <c r="Q25" s="104"/>
    </row>
    <row r="26" spans="1:18" ht="13.5" customHeight="1" x14ac:dyDescent="0.2">
      <c r="A26" s="273" t="str">
        <f>"20～29歳(n = "&amp;B26&amp;" )　　"</f>
        <v>20～29歳(n = 82 )　　</v>
      </c>
      <c r="B26" s="34">
        <v>82</v>
      </c>
      <c r="C26" s="31">
        <v>36</v>
      </c>
      <c r="D26" s="32">
        <v>11</v>
      </c>
      <c r="E26" s="32">
        <v>13</v>
      </c>
      <c r="F26" s="32">
        <v>29</v>
      </c>
      <c r="G26" s="32">
        <v>25</v>
      </c>
      <c r="H26" s="32">
        <v>1</v>
      </c>
      <c r="I26" s="32">
        <v>4</v>
      </c>
      <c r="J26" s="32">
        <v>8</v>
      </c>
      <c r="K26" s="32">
        <v>6</v>
      </c>
      <c r="L26" s="32">
        <v>47</v>
      </c>
      <c r="M26" s="32">
        <v>25</v>
      </c>
      <c r="N26" s="32">
        <v>2</v>
      </c>
      <c r="O26" s="32">
        <v>3</v>
      </c>
      <c r="P26" s="30"/>
      <c r="Q26" s="104">
        <f>SUM($C26:P26)</f>
        <v>210</v>
      </c>
      <c r="R26" t="str">
        <f>" 20～29歳（N = "&amp;Q26&amp;" : n = "&amp;B26&amp;"）"</f>
        <v xml:space="preserve"> 20～29歳（N = 210 : n = 82）</v>
      </c>
    </row>
    <row r="27" spans="1:18" x14ac:dyDescent="0.2">
      <c r="A27" s="274"/>
      <c r="B27" s="20">
        <f>B26/$B$22*100</f>
        <v>7.5506445672191527</v>
      </c>
      <c r="C27" s="20">
        <f t="shared" ref="C27:O27" si="13">C26/$B26*100</f>
        <v>43.902439024390247</v>
      </c>
      <c r="D27" s="207">
        <f t="shared" si="13"/>
        <v>13.414634146341465</v>
      </c>
      <c r="E27" s="207">
        <f t="shared" si="13"/>
        <v>15.853658536585366</v>
      </c>
      <c r="F27" s="207">
        <f t="shared" si="13"/>
        <v>35.365853658536587</v>
      </c>
      <c r="G27" s="207">
        <f t="shared" si="13"/>
        <v>30.487804878048781</v>
      </c>
      <c r="H27" s="207">
        <f t="shared" si="13"/>
        <v>1.2195121951219512</v>
      </c>
      <c r="I27" s="207">
        <f t="shared" si="13"/>
        <v>4.8780487804878048</v>
      </c>
      <c r="J27" s="207">
        <f t="shared" si="13"/>
        <v>9.7560975609756095</v>
      </c>
      <c r="K27" s="207">
        <f t="shared" si="13"/>
        <v>7.3170731707317067</v>
      </c>
      <c r="L27" s="207">
        <f t="shared" si="13"/>
        <v>57.317073170731703</v>
      </c>
      <c r="M27" s="207">
        <f t="shared" si="13"/>
        <v>30.487804878048781</v>
      </c>
      <c r="N27" s="207">
        <f t="shared" si="13"/>
        <v>2.4390243902439024</v>
      </c>
      <c r="O27" s="207">
        <f t="shared" si="13"/>
        <v>3.6585365853658534</v>
      </c>
      <c r="P27" s="208"/>
      <c r="Q27" s="104"/>
    </row>
    <row r="28" spans="1:18" ht="13.5" customHeight="1" x14ac:dyDescent="0.2">
      <c r="A28" s="273" t="str">
        <f>"30～39歳(n = "&amp;B28&amp;" )　　"</f>
        <v>30～39歳(n = 132 )　　</v>
      </c>
      <c r="B28" s="34">
        <v>132</v>
      </c>
      <c r="C28" s="31">
        <v>63</v>
      </c>
      <c r="D28" s="32">
        <v>20</v>
      </c>
      <c r="E28" s="32">
        <v>30</v>
      </c>
      <c r="F28" s="32">
        <v>61</v>
      </c>
      <c r="G28" s="32">
        <v>42</v>
      </c>
      <c r="H28" s="32">
        <v>5</v>
      </c>
      <c r="I28" s="32">
        <v>5</v>
      </c>
      <c r="J28" s="32">
        <v>13</v>
      </c>
      <c r="K28" s="32">
        <v>9</v>
      </c>
      <c r="L28" s="32">
        <v>65</v>
      </c>
      <c r="M28" s="32">
        <v>50</v>
      </c>
      <c r="N28" s="32">
        <v>5</v>
      </c>
      <c r="O28" s="32">
        <v>3</v>
      </c>
      <c r="P28" s="30"/>
      <c r="Q28" s="104">
        <f>SUM($C28:P28)</f>
        <v>371</v>
      </c>
      <c r="R28" t="str">
        <f>" 30～39歳（N = "&amp;Q28&amp;" : n = "&amp;B28&amp;"）"</f>
        <v xml:space="preserve"> 30～39歳（N = 371 : n = 132）</v>
      </c>
    </row>
    <row r="29" spans="1:18" x14ac:dyDescent="0.2">
      <c r="A29" s="274"/>
      <c r="B29" s="20">
        <f>B28/$B$22*100</f>
        <v>12.154696132596685</v>
      </c>
      <c r="C29" s="20">
        <f t="shared" ref="C29:O29" si="14">C28/$B28*100</f>
        <v>47.727272727272727</v>
      </c>
      <c r="D29" s="207">
        <f t="shared" si="14"/>
        <v>15.151515151515152</v>
      </c>
      <c r="E29" s="207">
        <f t="shared" si="14"/>
        <v>22.727272727272727</v>
      </c>
      <c r="F29" s="207">
        <f t="shared" si="14"/>
        <v>46.212121212121211</v>
      </c>
      <c r="G29" s="207">
        <f t="shared" si="14"/>
        <v>31.818181818181817</v>
      </c>
      <c r="H29" s="207">
        <f t="shared" si="14"/>
        <v>3.7878787878787881</v>
      </c>
      <c r="I29" s="207">
        <f t="shared" si="14"/>
        <v>3.7878787878787881</v>
      </c>
      <c r="J29" s="207">
        <f t="shared" si="14"/>
        <v>9.8484848484848477</v>
      </c>
      <c r="K29" s="207">
        <f t="shared" si="14"/>
        <v>6.8181818181818175</v>
      </c>
      <c r="L29" s="207">
        <f t="shared" si="14"/>
        <v>49.242424242424242</v>
      </c>
      <c r="M29" s="207">
        <f t="shared" si="14"/>
        <v>37.878787878787875</v>
      </c>
      <c r="N29" s="207">
        <f t="shared" si="14"/>
        <v>3.7878787878787881</v>
      </c>
      <c r="O29" s="207">
        <f t="shared" si="14"/>
        <v>2.2727272727272729</v>
      </c>
      <c r="P29" s="208"/>
      <c r="Q29" s="104"/>
    </row>
    <row r="30" spans="1:18" ht="13.5" customHeight="1" x14ac:dyDescent="0.2">
      <c r="A30" s="273" t="str">
        <f>"40～49歳(n = "&amp;B30&amp;" )　　"</f>
        <v>40～49歳(n = 189 )　　</v>
      </c>
      <c r="B30" s="34">
        <v>189</v>
      </c>
      <c r="C30" s="31">
        <v>88</v>
      </c>
      <c r="D30" s="32">
        <v>33</v>
      </c>
      <c r="E30" s="32">
        <v>35</v>
      </c>
      <c r="F30" s="32">
        <v>104</v>
      </c>
      <c r="G30" s="32">
        <v>64</v>
      </c>
      <c r="H30" s="32">
        <v>4</v>
      </c>
      <c r="I30" s="32">
        <v>13</v>
      </c>
      <c r="J30" s="32">
        <v>26</v>
      </c>
      <c r="K30" s="32">
        <v>16</v>
      </c>
      <c r="L30" s="32">
        <v>88</v>
      </c>
      <c r="M30" s="32">
        <v>89</v>
      </c>
      <c r="N30" s="32">
        <v>4</v>
      </c>
      <c r="O30" s="32">
        <v>3</v>
      </c>
      <c r="P30" s="30"/>
      <c r="Q30" s="104">
        <f>SUM($C30:P30)</f>
        <v>567</v>
      </c>
      <c r="R30" t="str">
        <f>" 40～49歳（N = "&amp;Q30&amp;" : n = "&amp;B30&amp;"）"</f>
        <v xml:space="preserve"> 40～49歳（N = 567 : n = 189）</v>
      </c>
    </row>
    <row r="31" spans="1:18" x14ac:dyDescent="0.2">
      <c r="A31" s="274"/>
      <c r="B31" s="20">
        <f>B30/$B$22*100</f>
        <v>17.403314917127073</v>
      </c>
      <c r="C31" s="20">
        <f t="shared" ref="C31:O31" si="15">C30/$B30*100</f>
        <v>46.560846560846556</v>
      </c>
      <c r="D31" s="207">
        <f t="shared" si="15"/>
        <v>17.460317460317459</v>
      </c>
      <c r="E31" s="207">
        <f t="shared" si="15"/>
        <v>18.518518518518519</v>
      </c>
      <c r="F31" s="207">
        <f t="shared" si="15"/>
        <v>55.026455026455025</v>
      </c>
      <c r="G31" s="207">
        <f t="shared" si="15"/>
        <v>33.862433862433861</v>
      </c>
      <c r="H31" s="207">
        <f t="shared" si="15"/>
        <v>2.1164021164021163</v>
      </c>
      <c r="I31" s="207">
        <f t="shared" si="15"/>
        <v>6.8783068783068781</v>
      </c>
      <c r="J31" s="207">
        <f t="shared" si="15"/>
        <v>13.756613756613756</v>
      </c>
      <c r="K31" s="207">
        <f t="shared" si="15"/>
        <v>8.4656084656084651</v>
      </c>
      <c r="L31" s="207">
        <f t="shared" si="15"/>
        <v>46.560846560846556</v>
      </c>
      <c r="M31" s="207">
        <f t="shared" si="15"/>
        <v>47.089947089947088</v>
      </c>
      <c r="N31" s="207">
        <f t="shared" si="15"/>
        <v>2.1164021164021163</v>
      </c>
      <c r="O31" s="207">
        <f t="shared" si="15"/>
        <v>1.5873015873015872</v>
      </c>
      <c r="P31" s="208"/>
      <c r="Q31" s="195"/>
    </row>
    <row r="32" spans="1:18" ht="13.5" customHeight="1" x14ac:dyDescent="0.2">
      <c r="A32" s="273" t="str">
        <f>"50～59歳(n = "&amp;B32&amp;" )　　"</f>
        <v>50～59歳(n = 202 )　　</v>
      </c>
      <c r="B32" s="34">
        <v>202</v>
      </c>
      <c r="C32" s="31">
        <v>110</v>
      </c>
      <c r="D32" s="32">
        <v>20</v>
      </c>
      <c r="E32" s="32">
        <v>49</v>
      </c>
      <c r="F32" s="32">
        <v>108</v>
      </c>
      <c r="G32" s="32">
        <v>57</v>
      </c>
      <c r="H32" s="32">
        <v>6</v>
      </c>
      <c r="I32" s="32">
        <v>7</v>
      </c>
      <c r="J32" s="32">
        <v>27</v>
      </c>
      <c r="K32" s="32">
        <v>19</v>
      </c>
      <c r="L32" s="32">
        <v>102</v>
      </c>
      <c r="M32" s="32">
        <v>100</v>
      </c>
      <c r="N32" s="32">
        <v>8</v>
      </c>
      <c r="O32" s="32">
        <v>7</v>
      </c>
      <c r="P32" s="30"/>
      <c r="Q32" s="104">
        <f>SUM($C32:P32)</f>
        <v>620</v>
      </c>
      <c r="R32" t="str">
        <f>" 50～59歳（N = "&amp;Q32&amp;" : n = "&amp;B32&amp;"）"</f>
        <v xml:space="preserve"> 50～59歳（N = 620 : n = 202）</v>
      </c>
    </row>
    <row r="33" spans="1:31" x14ac:dyDescent="0.2">
      <c r="A33" s="274"/>
      <c r="B33" s="20">
        <f>B32/$B$22*100</f>
        <v>18.600368324125231</v>
      </c>
      <c r="C33" s="20">
        <f t="shared" ref="C33:O33" si="16">C32/$B32*100</f>
        <v>54.455445544554458</v>
      </c>
      <c r="D33" s="207">
        <f t="shared" si="16"/>
        <v>9.9009900990099009</v>
      </c>
      <c r="E33" s="207">
        <f t="shared" si="16"/>
        <v>24.257425742574256</v>
      </c>
      <c r="F33" s="207">
        <f t="shared" si="16"/>
        <v>53.46534653465347</v>
      </c>
      <c r="G33" s="207">
        <f t="shared" si="16"/>
        <v>28.217821782178216</v>
      </c>
      <c r="H33" s="207">
        <f t="shared" si="16"/>
        <v>2.9702970297029703</v>
      </c>
      <c r="I33" s="207">
        <f t="shared" si="16"/>
        <v>3.4653465346534658</v>
      </c>
      <c r="J33" s="207">
        <f t="shared" si="16"/>
        <v>13.366336633663368</v>
      </c>
      <c r="K33" s="207">
        <f t="shared" si="16"/>
        <v>9.4059405940594054</v>
      </c>
      <c r="L33" s="207">
        <f t="shared" si="16"/>
        <v>50.495049504950494</v>
      </c>
      <c r="M33" s="207">
        <f t="shared" si="16"/>
        <v>49.504950495049506</v>
      </c>
      <c r="N33" s="207">
        <f t="shared" si="16"/>
        <v>3.9603960396039604</v>
      </c>
      <c r="O33" s="207">
        <f t="shared" si="16"/>
        <v>3.4653465346534658</v>
      </c>
      <c r="P33" s="208"/>
      <c r="Q33" s="195"/>
    </row>
    <row r="34" spans="1:31" ht="13.5" customHeight="1" x14ac:dyDescent="0.2">
      <c r="A34" s="273" t="str">
        <f>"60～69歳(n = "&amp;B34&amp;" )　　"</f>
        <v>60～69歳(n = 235 )　　</v>
      </c>
      <c r="B34" s="34">
        <v>235</v>
      </c>
      <c r="C34" s="31">
        <v>139</v>
      </c>
      <c r="D34" s="32">
        <v>21</v>
      </c>
      <c r="E34" s="32">
        <v>85</v>
      </c>
      <c r="F34" s="32">
        <v>129</v>
      </c>
      <c r="G34" s="32">
        <v>61</v>
      </c>
      <c r="H34" s="32">
        <v>6</v>
      </c>
      <c r="I34" s="32">
        <v>6</v>
      </c>
      <c r="J34" s="32">
        <v>30</v>
      </c>
      <c r="K34" s="32">
        <v>34</v>
      </c>
      <c r="L34" s="32">
        <v>109</v>
      </c>
      <c r="M34" s="32">
        <v>146</v>
      </c>
      <c r="N34" s="32">
        <v>3</v>
      </c>
      <c r="O34" s="32">
        <v>1</v>
      </c>
      <c r="P34" s="30"/>
      <c r="Q34" s="104">
        <f>SUM($C34:P34)</f>
        <v>770</v>
      </c>
      <c r="R34" t="str">
        <f>" 60～69歳（N = "&amp;Q34&amp;" : n = "&amp;B34&amp;"）"</f>
        <v xml:space="preserve"> 60～69歳（N = 770 : n = 235）</v>
      </c>
    </row>
    <row r="35" spans="1:31" x14ac:dyDescent="0.2">
      <c r="A35" s="274"/>
      <c r="B35" s="20">
        <f>B34/$B$22*100</f>
        <v>21.639042357274402</v>
      </c>
      <c r="C35" s="20">
        <f t="shared" ref="C35:O35" si="17">C34/$B34*100</f>
        <v>59.148936170212764</v>
      </c>
      <c r="D35" s="207">
        <f t="shared" si="17"/>
        <v>8.9361702127659584</v>
      </c>
      <c r="E35" s="207">
        <f t="shared" si="17"/>
        <v>36.170212765957451</v>
      </c>
      <c r="F35" s="207">
        <f t="shared" si="17"/>
        <v>54.893617021276597</v>
      </c>
      <c r="G35" s="207">
        <f t="shared" si="17"/>
        <v>25.957446808510635</v>
      </c>
      <c r="H35" s="207">
        <f t="shared" si="17"/>
        <v>2.5531914893617018</v>
      </c>
      <c r="I35" s="207">
        <f t="shared" si="17"/>
        <v>2.5531914893617018</v>
      </c>
      <c r="J35" s="207">
        <f t="shared" si="17"/>
        <v>12.76595744680851</v>
      </c>
      <c r="K35" s="207">
        <f t="shared" si="17"/>
        <v>14.468085106382977</v>
      </c>
      <c r="L35" s="207">
        <f t="shared" si="17"/>
        <v>46.382978723404257</v>
      </c>
      <c r="M35" s="207">
        <f t="shared" si="17"/>
        <v>62.127659574468083</v>
      </c>
      <c r="N35" s="207">
        <f t="shared" si="17"/>
        <v>1.2765957446808509</v>
      </c>
      <c r="O35" s="207">
        <f t="shared" si="17"/>
        <v>0.42553191489361702</v>
      </c>
      <c r="P35" s="208"/>
      <c r="Q35" s="195"/>
    </row>
    <row r="36" spans="1:31" ht="13.5" customHeight="1" x14ac:dyDescent="0.2">
      <c r="A36" s="273" t="str">
        <f>"70歳以上(n = "&amp;B36&amp;" )　　"</f>
        <v>70歳以上(n = 232 )　　</v>
      </c>
      <c r="B36" s="34">
        <v>232</v>
      </c>
      <c r="C36" s="31">
        <v>131</v>
      </c>
      <c r="D36" s="32">
        <v>22</v>
      </c>
      <c r="E36" s="32">
        <v>107</v>
      </c>
      <c r="F36" s="32">
        <v>119</v>
      </c>
      <c r="G36" s="32">
        <v>55</v>
      </c>
      <c r="H36" s="32">
        <v>2</v>
      </c>
      <c r="I36" s="32">
        <v>10</v>
      </c>
      <c r="J36" s="32">
        <v>38</v>
      </c>
      <c r="K36" s="32">
        <v>42</v>
      </c>
      <c r="L36" s="32">
        <v>103</v>
      </c>
      <c r="M36" s="32">
        <v>145</v>
      </c>
      <c r="N36" s="32">
        <v>2</v>
      </c>
      <c r="O36" s="32">
        <v>0</v>
      </c>
      <c r="P36" s="30"/>
      <c r="Q36" s="104">
        <f>SUM($C36:P36)</f>
        <v>776</v>
      </c>
      <c r="R36" t="str">
        <f>" 70歳以上（N = "&amp;Q36&amp;" : n = "&amp;B36&amp;"）"</f>
        <v xml:space="preserve"> 70歳以上（N = 776 : n = 232）</v>
      </c>
    </row>
    <row r="37" spans="1:31" x14ac:dyDescent="0.2">
      <c r="A37" s="274"/>
      <c r="B37" s="20">
        <f>B36/$B$22*100</f>
        <v>21.36279926335175</v>
      </c>
      <c r="C37" s="20">
        <f t="shared" ref="C37:O37" si="18">C36/$B36*100</f>
        <v>56.465517241379317</v>
      </c>
      <c r="D37" s="207">
        <f t="shared" si="18"/>
        <v>9.4827586206896548</v>
      </c>
      <c r="E37" s="207">
        <f t="shared" si="18"/>
        <v>46.120689655172413</v>
      </c>
      <c r="F37" s="207">
        <f t="shared" si="18"/>
        <v>51.293103448275865</v>
      </c>
      <c r="G37" s="207">
        <f t="shared" si="18"/>
        <v>23.706896551724139</v>
      </c>
      <c r="H37" s="207">
        <f t="shared" si="18"/>
        <v>0.86206896551724133</v>
      </c>
      <c r="I37" s="207">
        <f t="shared" si="18"/>
        <v>4.3103448275862073</v>
      </c>
      <c r="J37" s="207">
        <f t="shared" si="18"/>
        <v>16.379310344827587</v>
      </c>
      <c r="K37" s="207">
        <f t="shared" si="18"/>
        <v>18.103448275862068</v>
      </c>
      <c r="L37" s="207">
        <f t="shared" si="18"/>
        <v>44.396551724137936</v>
      </c>
      <c r="M37" s="207">
        <f t="shared" si="18"/>
        <v>62.5</v>
      </c>
      <c r="N37" s="207">
        <f t="shared" si="18"/>
        <v>0.86206896551724133</v>
      </c>
      <c r="O37" s="207">
        <f t="shared" si="18"/>
        <v>0</v>
      </c>
      <c r="P37" s="208"/>
      <c r="Q37" s="195"/>
    </row>
    <row r="38" spans="1:31" s="186" customFormat="1" x14ac:dyDescent="0.2">
      <c r="A38" s="184"/>
      <c r="B38" s="182"/>
      <c r="C38" s="172">
        <f>_xlfn.RANK.EQ(C23,$C$23:$P$23,0)</f>
        <v>1</v>
      </c>
      <c r="D38" s="172">
        <f t="shared" ref="D38:P38" si="19">_xlfn.RANK.EQ(D23,$C$23:$P$23,0)</f>
        <v>9</v>
      </c>
      <c r="E38" s="172">
        <f t="shared" si="19"/>
        <v>5</v>
      </c>
      <c r="F38" s="172">
        <f t="shared" si="19"/>
        <v>3</v>
      </c>
      <c r="G38" s="172">
        <f t="shared" si="19"/>
        <v>6</v>
      </c>
      <c r="H38" s="172">
        <f t="shared" si="19"/>
        <v>11</v>
      </c>
      <c r="I38" s="172">
        <f t="shared" si="19"/>
        <v>10</v>
      </c>
      <c r="J38" s="172">
        <f t="shared" si="19"/>
        <v>7</v>
      </c>
      <c r="K38" s="172">
        <f t="shared" si="19"/>
        <v>8</v>
      </c>
      <c r="L38" s="172">
        <f t="shared" si="19"/>
        <v>4</v>
      </c>
      <c r="M38" s="172">
        <f t="shared" si="19"/>
        <v>2</v>
      </c>
      <c r="N38" s="172">
        <f t="shared" si="19"/>
        <v>12</v>
      </c>
      <c r="O38" s="172">
        <f t="shared" si="19"/>
        <v>13</v>
      </c>
      <c r="P38" s="172" t="e">
        <f t="shared" si="19"/>
        <v>#N/A</v>
      </c>
      <c r="Q38" s="185"/>
    </row>
    <row r="39" spans="1:31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45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86.4" x14ac:dyDescent="0.2">
      <c r="A41" s="12" t="str">
        <f>A21</f>
        <v>【年代別】</v>
      </c>
      <c r="B41" s="59" t="str">
        <f>B12</f>
        <v>調査数</v>
      </c>
      <c r="C41" s="60" t="s">
        <v>131</v>
      </c>
      <c r="D41" s="61" t="s">
        <v>223</v>
      </c>
      <c r="E41" s="61" t="s">
        <v>222</v>
      </c>
      <c r="F41" s="61" t="s">
        <v>179</v>
      </c>
      <c r="G41" s="61" t="s">
        <v>225</v>
      </c>
      <c r="H41" s="61" t="s">
        <v>224</v>
      </c>
      <c r="I41" s="61" t="s">
        <v>226</v>
      </c>
      <c r="J41" s="61" t="s">
        <v>227</v>
      </c>
      <c r="K41" s="61" t="s">
        <v>228</v>
      </c>
      <c r="L41" s="61" t="s">
        <v>229</v>
      </c>
      <c r="M41" s="61" t="s">
        <v>230</v>
      </c>
      <c r="N41" s="61" t="s">
        <v>57</v>
      </c>
      <c r="O41" s="61" t="s">
        <v>75</v>
      </c>
      <c r="P41" s="63"/>
      <c r="Q41" s="44" t="s">
        <v>32</v>
      </c>
      <c r="R41" s="12" t="str">
        <f>A41</f>
        <v>【年代別】</v>
      </c>
      <c r="S41" s="60" t="str">
        <f t="shared" ref="S41:AE41" si="20">C41</f>
        <v>自然が豊かである</v>
      </c>
      <c r="T41" s="61" t="str">
        <f t="shared" si="20"/>
        <v>災害が少ない</v>
      </c>
      <c r="U41" s="61" t="str">
        <f t="shared" si="20"/>
        <v>食事、買い物が便利である</v>
      </c>
      <c r="V41" s="61" t="str">
        <f t="shared" si="20"/>
        <v>治安がよい</v>
      </c>
      <c r="W41" s="61" t="str">
        <f t="shared" si="20"/>
        <v>　　　ウォーキングなど気軽に
体を動かせる場が近くにある</v>
      </c>
      <c r="X41" s="61" t="str">
        <f t="shared" si="20"/>
        <v>交通の便がよい</v>
      </c>
      <c r="Y41" s="62" t="str">
        <f t="shared" si="20"/>
        <v>医療、福祉サービスが充実している</v>
      </c>
      <c r="Z41" s="156" t="str">
        <f t="shared" si="20"/>
        <v>住民相互の交流がある</v>
      </c>
      <c r="AA41" s="61" t="str">
        <f t="shared" si="20"/>
        <v>町並みなどの景観がよい</v>
      </c>
      <c r="AB41" s="105" t="str">
        <f t="shared" si="20"/>
        <v>教育、文化、スポーツの施設が充実している</v>
      </c>
      <c r="AC41" s="61" t="str">
        <f t="shared" si="20"/>
        <v>働く場が多い</v>
      </c>
      <c r="AD41" s="62" t="str">
        <f t="shared" si="20"/>
        <v>その他</v>
      </c>
      <c r="AE41" s="63" t="str">
        <f t="shared" si="20"/>
        <v>特にない</v>
      </c>
    </row>
    <row r="42" spans="1:31" ht="12.75" customHeight="1" x14ac:dyDescent="0.2">
      <c r="A42" s="269" t="str">
        <f>A22</f>
        <v>全体(n = 1087 )　　</v>
      </c>
      <c r="B42" s="113">
        <f t="shared" ref="B42:B57" si="21">B22</f>
        <v>1086</v>
      </c>
      <c r="C42" s="121">
        <v>576</v>
      </c>
      <c r="D42" s="122">
        <v>561</v>
      </c>
      <c r="E42" s="122">
        <v>552</v>
      </c>
      <c r="F42" s="122">
        <v>524</v>
      </c>
      <c r="G42" s="122">
        <v>321</v>
      </c>
      <c r="H42" s="122">
        <v>306</v>
      </c>
      <c r="I42" s="122">
        <v>143</v>
      </c>
      <c r="J42" s="122">
        <v>128</v>
      </c>
      <c r="K42" s="122">
        <v>127</v>
      </c>
      <c r="L42" s="122">
        <v>45</v>
      </c>
      <c r="M42" s="122">
        <v>25</v>
      </c>
      <c r="N42" s="122">
        <v>24</v>
      </c>
      <c r="O42" s="122">
        <v>17</v>
      </c>
      <c r="P42" s="124"/>
      <c r="Q42" s="166"/>
      <c r="R42" s="93" t="str">
        <f>A44</f>
        <v>18～19歳(n = 14 )　　</v>
      </c>
      <c r="S42" s="84">
        <f>C45</f>
        <v>64.285714285714292</v>
      </c>
      <c r="T42" s="85">
        <f t="shared" ref="T42:AE42" si="22">D45</f>
        <v>42.857142857142854</v>
      </c>
      <c r="U42" s="85">
        <f>E45</f>
        <v>14.285714285714285</v>
      </c>
      <c r="V42" s="85">
        <f t="shared" si="22"/>
        <v>71.428571428571431</v>
      </c>
      <c r="W42" s="85">
        <f t="shared" si="22"/>
        <v>14.285714285714285</v>
      </c>
      <c r="X42" s="85">
        <f t="shared" si="22"/>
        <v>14.285714285714285</v>
      </c>
      <c r="Y42" s="86">
        <f t="shared" si="22"/>
        <v>7.1428571428571423</v>
      </c>
      <c r="Z42" s="161">
        <f t="shared" si="22"/>
        <v>14.285714285714285</v>
      </c>
      <c r="AA42" s="85">
        <f t="shared" si="22"/>
        <v>0</v>
      </c>
      <c r="AB42" s="157">
        <f t="shared" si="22"/>
        <v>0</v>
      </c>
      <c r="AC42" s="85">
        <f t="shared" si="22"/>
        <v>7.1428571428571423</v>
      </c>
      <c r="AD42" s="86">
        <f t="shared" si="22"/>
        <v>0</v>
      </c>
      <c r="AE42" s="87">
        <f t="shared" si="22"/>
        <v>0</v>
      </c>
    </row>
    <row r="43" spans="1:31" ht="12.75" customHeight="1" x14ac:dyDescent="0.2">
      <c r="A43" s="270"/>
      <c r="B43" s="114">
        <f t="shared" si="21"/>
        <v>100</v>
      </c>
      <c r="C43" s="125">
        <v>53.038674033149171</v>
      </c>
      <c r="D43" s="126">
        <v>51.657458563535904</v>
      </c>
      <c r="E43" s="126">
        <v>50.828729281767963</v>
      </c>
      <c r="F43" s="126">
        <v>48.250460405156538</v>
      </c>
      <c r="G43" s="126">
        <v>29.55801104972376</v>
      </c>
      <c r="H43" s="126">
        <v>28.176795580110497</v>
      </c>
      <c r="I43" s="126">
        <v>13.167587476979742</v>
      </c>
      <c r="J43" s="126">
        <v>11.786372007366483</v>
      </c>
      <c r="K43" s="126">
        <v>11.694290976058932</v>
      </c>
      <c r="L43" s="126">
        <v>4.1436464088397784</v>
      </c>
      <c r="M43" s="126">
        <v>2.3020257826887662</v>
      </c>
      <c r="N43" s="126">
        <v>2.2099447513812152</v>
      </c>
      <c r="O43" s="126">
        <v>1.5653775322283612</v>
      </c>
      <c r="P43" s="128"/>
      <c r="R43" s="95" t="str">
        <f>A46</f>
        <v>20～29歳(n = 82 )　　</v>
      </c>
      <c r="S43" s="88">
        <f>C47</f>
        <v>43.902439024390247</v>
      </c>
      <c r="T43" s="89">
        <f t="shared" ref="T43:AE43" si="23">D47</f>
        <v>30.487804878048781</v>
      </c>
      <c r="U43" s="89">
        <f t="shared" si="23"/>
        <v>35.365853658536587</v>
      </c>
      <c r="V43" s="89">
        <f t="shared" si="23"/>
        <v>57.317073170731703</v>
      </c>
      <c r="W43" s="89">
        <f t="shared" si="23"/>
        <v>15.853658536585366</v>
      </c>
      <c r="X43" s="89">
        <f t="shared" si="23"/>
        <v>30.487804878048781</v>
      </c>
      <c r="Y43" s="90">
        <f t="shared" si="23"/>
        <v>9.7560975609756095</v>
      </c>
      <c r="Z43" s="162">
        <f t="shared" si="23"/>
        <v>7.3170731707317067</v>
      </c>
      <c r="AA43" s="89">
        <f t="shared" si="23"/>
        <v>13.414634146341465</v>
      </c>
      <c r="AB43" s="158">
        <f t="shared" si="23"/>
        <v>4.8780487804878048</v>
      </c>
      <c r="AC43" s="89">
        <f t="shared" si="23"/>
        <v>1.2195121951219512</v>
      </c>
      <c r="AD43" s="90">
        <f t="shared" si="23"/>
        <v>2.4390243902439024</v>
      </c>
      <c r="AE43" s="91">
        <f t="shared" si="23"/>
        <v>3.6585365853658534</v>
      </c>
    </row>
    <row r="44" spans="1:31" ht="12.75" customHeight="1" x14ac:dyDescent="0.2">
      <c r="A44" s="269" t="str">
        <f>A24</f>
        <v>18～19歳(n = 14 )　　</v>
      </c>
      <c r="B44" s="113">
        <f t="shared" si="21"/>
        <v>14</v>
      </c>
      <c r="C44" s="129">
        <v>9</v>
      </c>
      <c r="D44" s="130">
        <v>6</v>
      </c>
      <c r="E44" s="130">
        <v>2</v>
      </c>
      <c r="F44" s="130">
        <v>10</v>
      </c>
      <c r="G44" s="130">
        <v>2</v>
      </c>
      <c r="H44" s="130">
        <v>2</v>
      </c>
      <c r="I44" s="130">
        <v>1</v>
      </c>
      <c r="J44" s="130">
        <v>2</v>
      </c>
      <c r="K44" s="130">
        <v>0</v>
      </c>
      <c r="L44" s="130">
        <v>0</v>
      </c>
      <c r="M44" s="130">
        <v>1</v>
      </c>
      <c r="N44" s="130">
        <v>0</v>
      </c>
      <c r="O44" s="130">
        <v>0</v>
      </c>
      <c r="P44" s="131"/>
      <c r="Q44" s="166"/>
      <c r="R44" s="95" t="str">
        <f>A48</f>
        <v>30～39歳(n = 132 )　　</v>
      </c>
      <c r="S44" s="88">
        <f>C49</f>
        <v>47.727272727272727</v>
      </c>
      <c r="T44" s="89">
        <f t="shared" ref="T44:AE44" si="24">D49</f>
        <v>37.878787878787875</v>
      </c>
      <c r="U44" s="89">
        <f t="shared" si="24"/>
        <v>46.212121212121211</v>
      </c>
      <c r="V44" s="89">
        <f t="shared" si="24"/>
        <v>49.242424242424242</v>
      </c>
      <c r="W44" s="89">
        <f t="shared" si="24"/>
        <v>22.727272727272727</v>
      </c>
      <c r="X44" s="89">
        <f t="shared" si="24"/>
        <v>31.818181818181817</v>
      </c>
      <c r="Y44" s="90">
        <f t="shared" si="24"/>
        <v>9.8484848484848477</v>
      </c>
      <c r="Z44" s="162">
        <f t="shared" si="24"/>
        <v>6.8181818181818175</v>
      </c>
      <c r="AA44" s="89">
        <f t="shared" si="24"/>
        <v>15.151515151515152</v>
      </c>
      <c r="AB44" s="158">
        <f t="shared" si="24"/>
        <v>3.7878787878787881</v>
      </c>
      <c r="AC44" s="89">
        <f t="shared" si="24"/>
        <v>3.7878787878787881</v>
      </c>
      <c r="AD44" s="90">
        <f t="shared" si="24"/>
        <v>3.7878787878787881</v>
      </c>
      <c r="AE44" s="91">
        <f t="shared" si="24"/>
        <v>2.2727272727272729</v>
      </c>
    </row>
    <row r="45" spans="1:31" ht="12.75" customHeight="1" x14ac:dyDescent="0.2">
      <c r="A45" s="270"/>
      <c r="B45" s="114">
        <f t="shared" si="21"/>
        <v>1.2891344383057091</v>
      </c>
      <c r="C45" s="125">
        <v>64.285714285714292</v>
      </c>
      <c r="D45" s="126">
        <v>42.857142857142854</v>
      </c>
      <c r="E45" s="126">
        <v>14.285714285714285</v>
      </c>
      <c r="F45" s="126">
        <v>71.428571428571431</v>
      </c>
      <c r="G45" s="126">
        <v>14.285714285714285</v>
      </c>
      <c r="H45" s="126">
        <v>14.285714285714285</v>
      </c>
      <c r="I45" s="126">
        <v>7.1428571428571423</v>
      </c>
      <c r="J45" s="126">
        <v>14.285714285714285</v>
      </c>
      <c r="K45" s="126">
        <v>0</v>
      </c>
      <c r="L45" s="126">
        <v>0</v>
      </c>
      <c r="M45" s="126">
        <v>7.1428571428571423</v>
      </c>
      <c r="N45" s="126">
        <v>0</v>
      </c>
      <c r="O45" s="126">
        <v>0</v>
      </c>
      <c r="P45" s="128"/>
      <c r="R45" s="95" t="str">
        <f>A50</f>
        <v>40～49歳(n = 189 )　　</v>
      </c>
      <c r="S45" s="88">
        <f>C51</f>
        <v>46.560846560846556</v>
      </c>
      <c r="T45" s="89">
        <f t="shared" ref="T45:AE45" si="25">D51</f>
        <v>47.089947089947088</v>
      </c>
      <c r="U45" s="89">
        <f t="shared" si="25"/>
        <v>55.026455026455025</v>
      </c>
      <c r="V45" s="89">
        <f t="shared" si="25"/>
        <v>46.560846560846556</v>
      </c>
      <c r="W45" s="89">
        <f t="shared" si="25"/>
        <v>18.518518518518519</v>
      </c>
      <c r="X45" s="89">
        <f t="shared" si="25"/>
        <v>33.862433862433861</v>
      </c>
      <c r="Y45" s="90">
        <f t="shared" si="25"/>
        <v>13.756613756613756</v>
      </c>
      <c r="Z45" s="162">
        <f t="shared" si="25"/>
        <v>8.4656084656084651</v>
      </c>
      <c r="AA45" s="89">
        <f t="shared" si="25"/>
        <v>17.460317460317459</v>
      </c>
      <c r="AB45" s="158">
        <f t="shared" si="25"/>
        <v>6.8783068783068781</v>
      </c>
      <c r="AC45" s="89">
        <f t="shared" si="25"/>
        <v>2.1164021164021163</v>
      </c>
      <c r="AD45" s="90">
        <f t="shared" si="25"/>
        <v>2.1164021164021163</v>
      </c>
      <c r="AE45" s="91">
        <f t="shared" si="25"/>
        <v>1.5873015873015872</v>
      </c>
    </row>
    <row r="46" spans="1:31" ht="12.75" customHeight="1" x14ac:dyDescent="0.2">
      <c r="A46" s="269" t="str">
        <f>A26</f>
        <v>20～29歳(n = 82 )　　</v>
      </c>
      <c r="B46" s="113">
        <f t="shared" si="21"/>
        <v>82</v>
      </c>
      <c r="C46" s="129">
        <v>36</v>
      </c>
      <c r="D46" s="130">
        <v>25</v>
      </c>
      <c r="E46" s="130">
        <v>29</v>
      </c>
      <c r="F46" s="130">
        <v>47</v>
      </c>
      <c r="G46" s="130">
        <v>13</v>
      </c>
      <c r="H46" s="130">
        <v>25</v>
      </c>
      <c r="I46" s="130">
        <v>8</v>
      </c>
      <c r="J46" s="130">
        <v>6</v>
      </c>
      <c r="K46" s="130">
        <v>11</v>
      </c>
      <c r="L46" s="130">
        <v>4</v>
      </c>
      <c r="M46" s="130">
        <v>1</v>
      </c>
      <c r="N46" s="130">
        <v>2</v>
      </c>
      <c r="O46" s="130">
        <v>3</v>
      </c>
      <c r="P46" s="131"/>
      <c r="R46" s="95" t="str">
        <f>A52</f>
        <v>50～59歳(n = 202 )　　</v>
      </c>
      <c r="S46" s="88">
        <f>C53</f>
        <v>54.455445544554458</v>
      </c>
      <c r="T46" s="89">
        <f t="shared" ref="T46:AE46" si="26">D53</f>
        <v>49.504950495049506</v>
      </c>
      <c r="U46" s="89">
        <f t="shared" si="26"/>
        <v>53.46534653465347</v>
      </c>
      <c r="V46" s="89">
        <f t="shared" si="26"/>
        <v>50.495049504950494</v>
      </c>
      <c r="W46" s="89">
        <f t="shared" si="26"/>
        <v>24.257425742574256</v>
      </c>
      <c r="X46" s="89">
        <f t="shared" si="26"/>
        <v>28.217821782178216</v>
      </c>
      <c r="Y46" s="90">
        <f t="shared" si="26"/>
        <v>13.366336633663368</v>
      </c>
      <c r="Z46" s="162">
        <f t="shared" si="26"/>
        <v>9.4059405940594054</v>
      </c>
      <c r="AA46" s="89">
        <f t="shared" si="26"/>
        <v>9.9009900990099009</v>
      </c>
      <c r="AB46" s="158">
        <f t="shared" si="26"/>
        <v>3.4653465346534658</v>
      </c>
      <c r="AC46" s="89">
        <f t="shared" si="26"/>
        <v>2.9702970297029703</v>
      </c>
      <c r="AD46" s="90">
        <f t="shared" si="26"/>
        <v>3.9603960396039604</v>
      </c>
      <c r="AE46" s="91">
        <f t="shared" si="26"/>
        <v>3.4653465346534658</v>
      </c>
    </row>
    <row r="47" spans="1:31" ht="12.75" customHeight="1" x14ac:dyDescent="0.2">
      <c r="A47" s="270"/>
      <c r="B47" s="114">
        <f t="shared" si="21"/>
        <v>7.5506445672191527</v>
      </c>
      <c r="C47" s="125">
        <v>43.902439024390247</v>
      </c>
      <c r="D47" s="126">
        <v>30.487804878048781</v>
      </c>
      <c r="E47" s="126">
        <v>35.365853658536587</v>
      </c>
      <c r="F47" s="126">
        <v>57.317073170731703</v>
      </c>
      <c r="G47" s="126">
        <v>15.853658536585366</v>
      </c>
      <c r="H47" s="126">
        <v>30.487804878048781</v>
      </c>
      <c r="I47" s="126">
        <v>9.7560975609756095</v>
      </c>
      <c r="J47" s="126">
        <v>7.3170731707317067</v>
      </c>
      <c r="K47" s="126">
        <v>13.414634146341465</v>
      </c>
      <c r="L47" s="126">
        <v>4.8780487804878048</v>
      </c>
      <c r="M47" s="126">
        <v>1.2195121951219512</v>
      </c>
      <c r="N47" s="126">
        <v>2.4390243902439024</v>
      </c>
      <c r="O47" s="126">
        <v>3.6585365853658534</v>
      </c>
      <c r="P47" s="128"/>
      <c r="R47" s="96" t="str">
        <f>A54</f>
        <v>60～69歳(n = 235 )　　</v>
      </c>
      <c r="S47" s="97">
        <f>C55</f>
        <v>59.148936170212764</v>
      </c>
      <c r="T47" s="98">
        <f t="shared" ref="T47:AE47" si="27">D55</f>
        <v>62.127659574468083</v>
      </c>
      <c r="U47" s="98">
        <f t="shared" si="27"/>
        <v>54.893617021276597</v>
      </c>
      <c r="V47" s="98">
        <f t="shared" si="27"/>
        <v>46.382978723404257</v>
      </c>
      <c r="W47" s="98">
        <f t="shared" si="27"/>
        <v>36.170212765957451</v>
      </c>
      <c r="X47" s="98">
        <f t="shared" si="27"/>
        <v>25.957446808510635</v>
      </c>
      <c r="Y47" s="110">
        <f t="shared" si="27"/>
        <v>12.76595744680851</v>
      </c>
      <c r="Z47" s="163">
        <f t="shared" si="27"/>
        <v>14.468085106382977</v>
      </c>
      <c r="AA47" s="98">
        <f t="shared" si="27"/>
        <v>8.9361702127659584</v>
      </c>
      <c r="AB47" s="159">
        <f t="shared" si="27"/>
        <v>2.5531914893617018</v>
      </c>
      <c r="AC47" s="98">
        <f t="shared" si="27"/>
        <v>2.5531914893617018</v>
      </c>
      <c r="AD47" s="110">
        <f t="shared" si="27"/>
        <v>1.2765957446808509</v>
      </c>
      <c r="AE47" s="99">
        <f t="shared" si="27"/>
        <v>0.42553191489361702</v>
      </c>
    </row>
    <row r="48" spans="1:31" ht="13.5" customHeight="1" x14ac:dyDescent="0.2">
      <c r="A48" s="269" t="str">
        <f>A28</f>
        <v>30～39歳(n = 132 )　　</v>
      </c>
      <c r="B48" s="113">
        <f t="shared" si="21"/>
        <v>132</v>
      </c>
      <c r="C48" s="129">
        <v>63</v>
      </c>
      <c r="D48" s="130">
        <v>50</v>
      </c>
      <c r="E48" s="130">
        <v>61</v>
      </c>
      <c r="F48" s="130">
        <v>65</v>
      </c>
      <c r="G48" s="130">
        <v>30</v>
      </c>
      <c r="H48" s="130">
        <v>42</v>
      </c>
      <c r="I48" s="130">
        <v>13</v>
      </c>
      <c r="J48" s="130">
        <v>9</v>
      </c>
      <c r="K48" s="130">
        <v>20</v>
      </c>
      <c r="L48" s="130">
        <v>5</v>
      </c>
      <c r="M48" s="130">
        <v>5</v>
      </c>
      <c r="N48" s="130">
        <v>5</v>
      </c>
      <c r="O48" s="130">
        <v>3</v>
      </c>
      <c r="P48" s="131"/>
      <c r="R48" s="94" t="str">
        <f>A56</f>
        <v>70歳以上(n = 232 )　　</v>
      </c>
      <c r="S48" s="78">
        <f>C57</f>
        <v>56.465517241379317</v>
      </c>
      <c r="T48" s="79">
        <f t="shared" ref="T48:AE48" si="28">D57</f>
        <v>62.5</v>
      </c>
      <c r="U48" s="79">
        <f t="shared" si="28"/>
        <v>51.293103448275865</v>
      </c>
      <c r="V48" s="79">
        <f t="shared" si="28"/>
        <v>44.396551724137936</v>
      </c>
      <c r="W48" s="79">
        <f t="shared" si="28"/>
        <v>46.120689655172413</v>
      </c>
      <c r="X48" s="79">
        <f t="shared" si="28"/>
        <v>23.706896551724139</v>
      </c>
      <c r="Y48" s="80">
        <f t="shared" si="28"/>
        <v>16.379310344827587</v>
      </c>
      <c r="Z48" s="164">
        <f t="shared" si="28"/>
        <v>18.103448275862068</v>
      </c>
      <c r="AA48" s="79">
        <f t="shared" si="28"/>
        <v>9.4827586206896548</v>
      </c>
      <c r="AB48" s="160">
        <f t="shared" si="28"/>
        <v>4.3103448275862073</v>
      </c>
      <c r="AC48" s="79">
        <f t="shared" si="28"/>
        <v>0.86206896551724133</v>
      </c>
      <c r="AD48" s="80">
        <f t="shared" si="28"/>
        <v>0.86206896551724133</v>
      </c>
      <c r="AE48" s="81">
        <f t="shared" si="28"/>
        <v>0</v>
      </c>
    </row>
    <row r="49" spans="1:18" x14ac:dyDescent="0.2">
      <c r="A49" s="270"/>
      <c r="B49" s="114">
        <f t="shared" si="21"/>
        <v>12.154696132596685</v>
      </c>
      <c r="C49" s="125">
        <v>47.727272727272727</v>
      </c>
      <c r="D49" s="126">
        <v>37.878787878787875</v>
      </c>
      <c r="E49" s="126">
        <v>46.212121212121211</v>
      </c>
      <c r="F49" s="126">
        <v>49.242424242424242</v>
      </c>
      <c r="G49" s="126">
        <v>22.727272727272727</v>
      </c>
      <c r="H49" s="126">
        <v>31.818181818181817</v>
      </c>
      <c r="I49" s="126">
        <v>9.8484848484848477</v>
      </c>
      <c r="J49" s="126">
        <v>6.8181818181818175</v>
      </c>
      <c r="K49" s="126">
        <v>15.151515151515152</v>
      </c>
      <c r="L49" s="126">
        <v>3.7878787878787881</v>
      </c>
      <c r="M49" s="126">
        <v>3.7878787878787881</v>
      </c>
      <c r="N49" s="126">
        <v>3.7878787878787881</v>
      </c>
      <c r="O49" s="126">
        <v>2.2727272727272729</v>
      </c>
      <c r="P49" s="128"/>
    </row>
    <row r="50" spans="1:18" x14ac:dyDescent="0.2">
      <c r="A50" s="269" t="str">
        <f>A30</f>
        <v>40～49歳(n = 189 )　　</v>
      </c>
      <c r="B50" s="113">
        <f t="shared" si="21"/>
        <v>189</v>
      </c>
      <c r="C50" s="129">
        <v>88</v>
      </c>
      <c r="D50" s="130">
        <v>89</v>
      </c>
      <c r="E50" s="130">
        <v>104</v>
      </c>
      <c r="F50" s="130">
        <v>88</v>
      </c>
      <c r="G50" s="130">
        <v>35</v>
      </c>
      <c r="H50" s="130">
        <v>64</v>
      </c>
      <c r="I50" s="130">
        <v>26</v>
      </c>
      <c r="J50" s="130">
        <v>16</v>
      </c>
      <c r="K50" s="130">
        <v>33</v>
      </c>
      <c r="L50" s="130">
        <v>13</v>
      </c>
      <c r="M50" s="130">
        <v>4</v>
      </c>
      <c r="N50" s="130">
        <v>4</v>
      </c>
      <c r="O50" s="130">
        <v>3</v>
      </c>
      <c r="P50" s="131"/>
    </row>
    <row r="51" spans="1:18" x14ac:dyDescent="0.2">
      <c r="A51" s="270"/>
      <c r="B51" s="114">
        <f t="shared" si="21"/>
        <v>17.403314917127073</v>
      </c>
      <c r="C51" s="125">
        <v>46.560846560846556</v>
      </c>
      <c r="D51" s="126">
        <v>47.089947089947088</v>
      </c>
      <c r="E51" s="126">
        <v>55.026455026455025</v>
      </c>
      <c r="F51" s="126">
        <v>46.560846560846556</v>
      </c>
      <c r="G51" s="126">
        <v>18.518518518518519</v>
      </c>
      <c r="H51" s="126">
        <v>33.862433862433861</v>
      </c>
      <c r="I51" s="126">
        <v>13.756613756613756</v>
      </c>
      <c r="J51" s="126">
        <v>8.4656084656084651</v>
      </c>
      <c r="K51" s="126">
        <v>17.460317460317459</v>
      </c>
      <c r="L51" s="126">
        <v>6.8783068783068781</v>
      </c>
      <c r="M51" s="126">
        <v>2.1164021164021163</v>
      </c>
      <c r="N51" s="126">
        <v>2.1164021164021163</v>
      </c>
      <c r="O51" s="126">
        <v>1.5873015873015872</v>
      </c>
      <c r="P51" s="128"/>
    </row>
    <row r="52" spans="1:18" x14ac:dyDescent="0.2">
      <c r="A52" s="269" t="str">
        <f>A32</f>
        <v>50～59歳(n = 202 )　　</v>
      </c>
      <c r="B52" s="113">
        <f t="shared" si="21"/>
        <v>202</v>
      </c>
      <c r="C52" s="129">
        <v>110</v>
      </c>
      <c r="D52" s="130">
        <v>100</v>
      </c>
      <c r="E52" s="130">
        <v>108</v>
      </c>
      <c r="F52" s="130">
        <v>102</v>
      </c>
      <c r="G52" s="130">
        <v>49</v>
      </c>
      <c r="H52" s="130">
        <v>57</v>
      </c>
      <c r="I52" s="130">
        <v>27</v>
      </c>
      <c r="J52" s="130">
        <v>19</v>
      </c>
      <c r="K52" s="130">
        <v>20</v>
      </c>
      <c r="L52" s="130">
        <v>7</v>
      </c>
      <c r="M52" s="130">
        <v>6</v>
      </c>
      <c r="N52" s="130">
        <v>8</v>
      </c>
      <c r="O52" s="130">
        <v>7</v>
      </c>
      <c r="P52" s="131"/>
    </row>
    <row r="53" spans="1:18" x14ac:dyDescent="0.2">
      <c r="A53" s="270"/>
      <c r="B53" s="114">
        <f t="shared" si="21"/>
        <v>18.600368324125231</v>
      </c>
      <c r="C53" s="125">
        <v>54.455445544554458</v>
      </c>
      <c r="D53" s="126">
        <v>49.504950495049506</v>
      </c>
      <c r="E53" s="126">
        <v>53.46534653465347</v>
      </c>
      <c r="F53" s="126">
        <v>50.495049504950494</v>
      </c>
      <c r="G53" s="126">
        <v>24.257425742574256</v>
      </c>
      <c r="H53" s="126">
        <v>28.217821782178216</v>
      </c>
      <c r="I53" s="126">
        <v>13.366336633663368</v>
      </c>
      <c r="J53" s="126">
        <v>9.4059405940594054</v>
      </c>
      <c r="K53" s="126">
        <v>9.9009900990099009</v>
      </c>
      <c r="L53" s="126">
        <v>3.4653465346534658</v>
      </c>
      <c r="M53" s="126">
        <v>2.9702970297029703</v>
      </c>
      <c r="N53" s="126">
        <v>3.9603960396039604</v>
      </c>
      <c r="O53" s="126">
        <v>3.4653465346534658</v>
      </c>
      <c r="P53" s="128"/>
    </row>
    <row r="54" spans="1:18" x14ac:dyDescent="0.2">
      <c r="A54" s="269" t="str">
        <f>A34</f>
        <v>60～69歳(n = 235 )　　</v>
      </c>
      <c r="B54" s="113">
        <f t="shared" si="21"/>
        <v>235</v>
      </c>
      <c r="C54" s="129">
        <v>139</v>
      </c>
      <c r="D54" s="130">
        <v>146</v>
      </c>
      <c r="E54" s="130">
        <v>129</v>
      </c>
      <c r="F54" s="130">
        <v>109</v>
      </c>
      <c r="G54" s="130">
        <v>85</v>
      </c>
      <c r="H54" s="130">
        <v>61</v>
      </c>
      <c r="I54" s="130">
        <v>30</v>
      </c>
      <c r="J54" s="130">
        <v>34</v>
      </c>
      <c r="K54" s="130">
        <v>21</v>
      </c>
      <c r="L54" s="130">
        <v>6</v>
      </c>
      <c r="M54" s="130">
        <v>6</v>
      </c>
      <c r="N54" s="130">
        <v>3</v>
      </c>
      <c r="O54" s="130">
        <v>1</v>
      </c>
      <c r="P54" s="131"/>
    </row>
    <row r="55" spans="1:18" x14ac:dyDescent="0.2">
      <c r="A55" s="270"/>
      <c r="B55" s="114">
        <f t="shared" si="21"/>
        <v>21.639042357274402</v>
      </c>
      <c r="C55" s="125">
        <v>59.148936170212764</v>
      </c>
      <c r="D55" s="126">
        <v>62.127659574468083</v>
      </c>
      <c r="E55" s="126">
        <v>54.893617021276597</v>
      </c>
      <c r="F55" s="126">
        <v>46.382978723404257</v>
      </c>
      <c r="G55" s="126">
        <v>36.170212765957451</v>
      </c>
      <c r="H55" s="126">
        <v>25.957446808510635</v>
      </c>
      <c r="I55" s="126">
        <v>12.76595744680851</v>
      </c>
      <c r="J55" s="126">
        <v>14.468085106382977</v>
      </c>
      <c r="K55" s="126">
        <v>8.9361702127659584</v>
      </c>
      <c r="L55" s="126">
        <v>2.5531914893617018</v>
      </c>
      <c r="M55" s="126">
        <v>2.5531914893617018</v>
      </c>
      <c r="N55" s="126">
        <v>1.2765957446808509</v>
      </c>
      <c r="O55" s="126">
        <v>0.42553191489361702</v>
      </c>
      <c r="P55" s="128"/>
    </row>
    <row r="56" spans="1:18" ht="13.5" customHeight="1" x14ac:dyDescent="0.2">
      <c r="A56" s="269" t="str">
        <f>A36</f>
        <v>70歳以上(n = 232 )　　</v>
      </c>
      <c r="B56" s="113">
        <f t="shared" si="21"/>
        <v>232</v>
      </c>
      <c r="C56" s="129">
        <v>131</v>
      </c>
      <c r="D56" s="130">
        <v>145</v>
      </c>
      <c r="E56" s="130">
        <v>119</v>
      </c>
      <c r="F56" s="130">
        <v>103</v>
      </c>
      <c r="G56" s="130">
        <v>107</v>
      </c>
      <c r="H56" s="130">
        <v>55</v>
      </c>
      <c r="I56" s="130">
        <v>38</v>
      </c>
      <c r="J56" s="130">
        <v>42</v>
      </c>
      <c r="K56" s="130">
        <v>22</v>
      </c>
      <c r="L56" s="130">
        <v>10</v>
      </c>
      <c r="M56" s="130">
        <v>2</v>
      </c>
      <c r="N56" s="130">
        <v>2</v>
      </c>
      <c r="O56" s="130">
        <v>0</v>
      </c>
      <c r="P56" s="131"/>
    </row>
    <row r="57" spans="1:18" x14ac:dyDescent="0.2">
      <c r="A57" s="270"/>
      <c r="B57" s="114">
        <f t="shared" si="21"/>
        <v>21.36279926335175</v>
      </c>
      <c r="C57" s="125">
        <v>56.465517241379317</v>
      </c>
      <c r="D57" s="126">
        <v>62.5</v>
      </c>
      <c r="E57" s="126">
        <v>51.293103448275865</v>
      </c>
      <c r="F57" s="126">
        <v>44.396551724137936</v>
      </c>
      <c r="G57" s="126">
        <v>46.120689655172413</v>
      </c>
      <c r="H57" s="126">
        <v>23.706896551724139</v>
      </c>
      <c r="I57" s="126">
        <v>16.379310344827587</v>
      </c>
      <c r="J57" s="126">
        <v>18.103448275862068</v>
      </c>
      <c r="K57" s="126">
        <v>9.4827586206896548</v>
      </c>
      <c r="L57" s="126">
        <v>4.3103448275862073</v>
      </c>
      <c r="M57" s="126">
        <v>0.86206896551724133</v>
      </c>
      <c r="N57" s="126">
        <v>0.86206896551724133</v>
      </c>
      <c r="O57" s="126">
        <v>0</v>
      </c>
      <c r="P57" s="128"/>
    </row>
    <row r="59" spans="1:18" x14ac:dyDescent="0.2">
      <c r="A59" s="3" t="s">
        <v>188</v>
      </c>
      <c r="B59" s="1" t="str">
        <f>B20</f>
        <v>住んでいる地域が住みやすいと感じる点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18" ht="67.5" customHeight="1" x14ac:dyDescent="0.2">
      <c r="A60" s="13" t="s">
        <v>27</v>
      </c>
      <c r="B60" s="59" t="str">
        <f>B21</f>
        <v>調査数</v>
      </c>
      <c r="C60" s="60" t="str">
        <f t="shared" ref="C60:P60" si="29">C21</f>
        <v>自然が豊かである</v>
      </c>
      <c r="D60" s="61" t="str">
        <f t="shared" si="29"/>
        <v>町並みなどの景観がよい</v>
      </c>
      <c r="E60" s="61" t="str">
        <f t="shared" si="29"/>
        <v>　　　ウォーキングなど気軽に
体を動かせる場が近くにある</v>
      </c>
      <c r="F60" s="61" t="str">
        <f t="shared" si="29"/>
        <v>食事、買い物が便利である</v>
      </c>
      <c r="G60" s="61" t="str">
        <f t="shared" si="29"/>
        <v>交通の便がよい</v>
      </c>
      <c r="H60" s="61" t="str">
        <f t="shared" si="29"/>
        <v>働く場が多い</v>
      </c>
      <c r="I60" s="61" t="str">
        <f t="shared" si="29"/>
        <v>教育、文化、スポーツの施設が充実している</v>
      </c>
      <c r="J60" s="61" t="str">
        <f t="shared" si="29"/>
        <v>医療、福祉サービスが充実している</v>
      </c>
      <c r="K60" s="61" t="str">
        <f t="shared" si="29"/>
        <v>住民相互の交流がある</v>
      </c>
      <c r="L60" s="61" t="str">
        <f t="shared" si="29"/>
        <v>治安がよい</v>
      </c>
      <c r="M60" s="61" t="str">
        <f t="shared" si="29"/>
        <v>災害が少ない</v>
      </c>
      <c r="N60" s="61" t="str">
        <f t="shared" si="29"/>
        <v>その他</v>
      </c>
      <c r="O60" s="61" t="str">
        <f t="shared" si="29"/>
        <v>特にない</v>
      </c>
      <c r="P60" s="63">
        <f t="shared" si="29"/>
        <v>0</v>
      </c>
      <c r="Q60" s="202" t="s">
        <v>118</v>
      </c>
      <c r="R60" s="202"/>
    </row>
    <row r="61" spans="1:18" x14ac:dyDescent="0.2">
      <c r="A61" s="269" t="str">
        <f>A42</f>
        <v>全体(n = 1087 )　　</v>
      </c>
      <c r="B61" s="28">
        <f>SUM(B63,B65,B67,B69,B71)</f>
        <v>1075</v>
      </c>
      <c r="C61" s="28">
        <f>SUM(C63,C65,C67,C69,C71)</f>
        <v>571</v>
      </c>
      <c r="D61" s="29">
        <f t="shared" ref="D61:O61" si="30">SUM(D63,D65,D67,D69,D71)</f>
        <v>126</v>
      </c>
      <c r="E61" s="29">
        <f t="shared" si="30"/>
        <v>318</v>
      </c>
      <c r="F61" s="29">
        <f t="shared" si="30"/>
        <v>547</v>
      </c>
      <c r="G61" s="29">
        <f t="shared" si="30"/>
        <v>302</v>
      </c>
      <c r="H61" s="29">
        <f t="shared" si="30"/>
        <v>25</v>
      </c>
      <c r="I61" s="29">
        <f t="shared" si="30"/>
        <v>46</v>
      </c>
      <c r="J61" s="29">
        <f t="shared" si="30"/>
        <v>141</v>
      </c>
      <c r="K61" s="29">
        <f t="shared" si="30"/>
        <v>127</v>
      </c>
      <c r="L61" s="29">
        <f t="shared" si="30"/>
        <v>517</v>
      </c>
      <c r="M61" s="29">
        <f t="shared" si="30"/>
        <v>554</v>
      </c>
      <c r="N61" s="29">
        <f t="shared" si="30"/>
        <v>24</v>
      </c>
      <c r="O61" s="29">
        <f t="shared" si="30"/>
        <v>17</v>
      </c>
      <c r="P61" s="30"/>
      <c r="Q61" s="104">
        <f>SUM($C61:P61)</f>
        <v>3315</v>
      </c>
      <c r="R61" s="166"/>
    </row>
    <row r="62" spans="1:18" x14ac:dyDescent="0.2">
      <c r="A62" s="270"/>
      <c r="B62" s="35">
        <v>100</v>
      </c>
      <c r="C62" s="20">
        <f t="shared" ref="C62" si="31">C61/$B61*100</f>
        <v>53.116279069767444</v>
      </c>
      <c r="D62" s="207">
        <f t="shared" ref="D62" si="32">D61/$B61*100</f>
        <v>11.720930232558139</v>
      </c>
      <c r="E62" s="207">
        <f t="shared" ref="E62" si="33">E61/$B61*100</f>
        <v>29.581395348837209</v>
      </c>
      <c r="F62" s="207">
        <f t="shared" ref="F62" si="34">F61/$B61*100</f>
        <v>50.883720930232556</v>
      </c>
      <c r="G62" s="207">
        <f t="shared" ref="G62" si="35">G61/$B61*100</f>
        <v>28.093023255813954</v>
      </c>
      <c r="H62" s="207">
        <f t="shared" ref="H62" si="36">H61/$B61*100</f>
        <v>2.3255813953488373</v>
      </c>
      <c r="I62" s="207">
        <f t="shared" ref="I62" si="37">I61/$B61*100</f>
        <v>4.279069767441861</v>
      </c>
      <c r="J62" s="207">
        <f t="shared" ref="J62" si="38">J61/$B61*100</f>
        <v>13.116279069767442</v>
      </c>
      <c r="K62" s="207">
        <f t="shared" ref="K62" si="39">K61/$B61*100</f>
        <v>11.813953488372093</v>
      </c>
      <c r="L62" s="207">
        <f t="shared" ref="L62" si="40">L61/$B61*100</f>
        <v>48.093023255813954</v>
      </c>
      <c r="M62" s="207">
        <f t="shared" ref="M62" si="41">M61/$B61*100</f>
        <v>51.534883720930239</v>
      </c>
      <c r="N62" s="207">
        <f t="shared" ref="N62" si="42">N61/$B61*100</f>
        <v>2.2325581395348837</v>
      </c>
      <c r="O62" s="207">
        <f t="shared" ref="O62" si="43">O61/$B61*100</f>
        <v>1.5813953488372092</v>
      </c>
      <c r="P62" s="208"/>
      <c r="Q62" s="104"/>
    </row>
    <row r="63" spans="1:18" x14ac:dyDescent="0.2">
      <c r="A63" s="297" t="str">
        <f>"岐阜圏域(n = "&amp;B63&amp;" )　　"</f>
        <v>岐阜圏域(n = 431 )　　</v>
      </c>
      <c r="B63" s="34">
        <v>431</v>
      </c>
      <c r="C63" s="31">
        <v>181</v>
      </c>
      <c r="D63" s="32">
        <v>34</v>
      </c>
      <c r="E63" s="32">
        <v>110</v>
      </c>
      <c r="F63" s="32">
        <v>270</v>
      </c>
      <c r="G63" s="32">
        <v>178</v>
      </c>
      <c r="H63" s="32">
        <v>8</v>
      </c>
      <c r="I63" s="32">
        <v>25</v>
      </c>
      <c r="J63" s="32">
        <v>67</v>
      </c>
      <c r="K63" s="32">
        <v>36</v>
      </c>
      <c r="L63" s="32">
        <v>192</v>
      </c>
      <c r="M63" s="32">
        <v>218</v>
      </c>
      <c r="N63" s="32">
        <v>8</v>
      </c>
      <c r="O63" s="32">
        <v>10</v>
      </c>
      <c r="P63" s="30"/>
      <c r="Q63" s="104">
        <f>SUM($C63:P63)</f>
        <v>1337</v>
      </c>
      <c r="R63" t="str">
        <f>" 岐阜圏域（N = "&amp;Q64&amp;" : n = "&amp;B63&amp;"）"</f>
        <v xml:space="preserve"> 岐阜圏域（N = 1,337 : n = 431）</v>
      </c>
    </row>
    <row r="64" spans="1:18" x14ac:dyDescent="0.2">
      <c r="A64" s="298"/>
      <c r="B64" s="20">
        <f>B63/$B$61*100</f>
        <v>40.093023255813954</v>
      </c>
      <c r="C64" s="20">
        <f t="shared" ref="C64" si="44">C63/$B63*100</f>
        <v>41.995359628770302</v>
      </c>
      <c r="D64" s="207">
        <f t="shared" ref="D64" si="45">D63/$B63*100</f>
        <v>7.8886310904872383</v>
      </c>
      <c r="E64" s="207">
        <f t="shared" ref="E64" si="46">E63/$B63*100</f>
        <v>25.522041763341068</v>
      </c>
      <c r="F64" s="207">
        <f t="shared" ref="F64" si="47">F63/$B63*100</f>
        <v>62.645011600928072</v>
      </c>
      <c r="G64" s="207">
        <f t="shared" ref="G64" si="48">G63/$B63*100</f>
        <v>41.299303944315547</v>
      </c>
      <c r="H64" s="207">
        <f t="shared" ref="H64" si="49">H63/$B63*100</f>
        <v>1.8561484918793503</v>
      </c>
      <c r="I64" s="207">
        <f t="shared" ref="I64" si="50">I63/$B63*100</f>
        <v>5.8004640371229694</v>
      </c>
      <c r="J64" s="207">
        <f t="shared" ref="J64" si="51">J63/$B63*100</f>
        <v>15.545243619489559</v>
      </c>
      <c r="K64" s="207">
        <f t="shared" ref="K64" si="52">K63/$B63*100</f>
        <v>8.3526682134570756</v>
      </c>
      <c r="L64" s="207">
        <f t="shared" ref="L64" si="53">L63/$B63*100</f>
        <v>44.547563805104403</v>
      </c>
      <c r="M64" s="207">
        <f t="shared" ref="M64" si="54">M63/$B63*100</f>
        <v>50.580046403712295</v>
      </c>
      <c r="N64" s="207">
        <f t="shared" ref="N64" si="55">N63/$B63*100</f>
        <v>1.8561484918793503</v>
      </c>
      <c r="O64" s="207">
        <f t="shared" ref="O64" si="56">O63/$B63*100</f>
        <v>2.3201856148491879</v>
      </c>
      <c r="P64" s="208"/>
      <c r="Q64" s="204" t="s">
        <v>277</v>
      </c>
    </row>
    <row r="65" spans="1:31" ht="13.5" customHeight="1" x14ac:dyDescent="0.2">
      <c r="A65" s="297" t="str">
        <f>"西濃圏域(n = "&amp;B65&amp;" )　　"</f>
        <v>西濃圏域(n = 213 )　　</v>
      </c>
      <c r="B65" s="34">
        <v>213</v>
      </c>
      <c r="C65" s="31">
        <v>103</v>
      </c>
      <c r="D65" s="32">
        <v>24</v>
      </c>
      <c r="E65" s="32">
        <v>66</v>
      </c>
      <c r="F65" s="32">
        <v>109</v>
      </c>
      <c r="G65" s="32">
        <v>55</v>
      </c>
      <c r="H65" s="32">
        <v>12</v>
      </c>
      <c r="I65" s="32">
        <v>11</v>
      </c>
      <c r="J65" s="32">
        <v>46</v>
      </c>
      <c r="K65" s="32">
        <v>26</v>
      </c>
      <c r="L65" s="32">
        <v>100</v>
      </c>
      <c r="M65" s="32">
        <v>106</v>
      </c>
      <c r="N65" s="32">
        <v>6</v>
      </c>
      <c r="O65" s="32">
        <v>0</v>
      </c>
      <c r="P65" s="30"/>
      <c r="Q65" s="104">
        <f>SUM($C65:P65)</f>
        <v>664</v>
      </c>
      <c r="R65" t="str">
        <f>" 西濃圏域（N = "&amp;Q65&amp;" : n = "&amp;B65&amp;"）"</f>
        <v xml:space="preserve"> 西濃圏域（N = 664 : n = 213）</v>
      </c>
    </row>
    <row r="66" spans="1:31" x14ac:dyDescent="0.2">
      <c r="A66" s="298"/>
      <c r="B66" s="20">
        <f>B65/$B$61*100</f>
        <v>19.813953488372093</v>
      </c>
      <c r="C66" s="20">
        <f t="shared" ref="C66" si="57">C65/$B65*100</f>
        <v>48.356807511737088</v>
      </c>
      <c r="D66" s="207">
        <f t="shared" ref="D66" si="58">D65/$B65*100</f>
        <v>11.267605633802818</v>
      </c>
      <c r="E66" s="207">
        <f t="shared" ref="E66" si="59">E65/$B65*100</f>
        <v>30.985915492957744</v>
      </c>
      <c r="F66" s="207">
        <f t="shared" ref="F66" si="60">F65/$B65*100</f>
        <v>51.173708920187785</v>
      </c>
      <c r="G66" s="207">
        <f t="shared" ref="G66" si="61">G65/$B65*100</f>
        <v>25.821596244131456</v>
      </c>
      <c r="H66" s="207">
        <f t="shared" ref="H66" si="62">H65/$B65*100</f>
        <v>5.6338028169014089</v>
      </c>
      <c r="I66" s="207">
        <f t="shared" ref="I66" si="63">I65/$B65*100</f>
        <v>5.164319248826291</v>
      </c>
      <c r="J66" s="207">
        <f t="shared" ref="J66" si="64">J65/$B65*100</f>
        <v>21.5962441314554</v>
      </c>
      <c r="K66" s="207">
        <f t="shared" ref="K66" si="65">K65/$B65*100</f>
        <v>12.206572769953052</v>
      </c>
      <c r="L66" s="207">
        <f t="shared" ref="L66" si="66">L65/$B65*100</f>
        <v>46.948356807511736</v>
      </c>
      <c r="M66" s="207">
        <f t="shared" ref="M66" si="67">M65/$B65*100</f>
        <v>49.76525821596244</v>
      </c>
      <c r="N66" s="207">
        <f t="shared" ref="N66" si="68">N65/$B65*100</f>
        <v>2.8169014084507045</v>
      </c>
      <c r="O66" s="207">
        <f t="shared" ref="O66" si="69">O65/$B65*100</f>
        <v>0</v>
      </c>
      <c r="P66" s="208"/>
      <c r="Q66" s="104"/>
    </row>
    <row r="67" spans="1:31" ht="13.5" customHeight="1" x14ac:dyDescent="0.2">
      <c r="A67" s="297" t="str">
        <f>"中濃圏域(n = "&amp;B67&amp;" )　　"</f>
        <v>中濃圏域(n = 211 )　　</v>
      </c>
      <c r="B67" s="34">
        <v>211</v>
      </c>
      <c r="C67" s="31">
        <v>137</v>
      </c>
      <c r="D67" s="32">
        <v>30</v>
      </c>
      <c r="E67" s="32">
        <v>70</v>
      </c>
      <c r="F67" s="32">
        <v>89</v>
      </c>
      <c r="G67" s="32">
        <v>33</v>
      </c>
      <c r="H67" s="32">
        <v>2</v>
      </c>
      <c r="I67" s="32">
        <v>5</v>
      </c>
      <c r="J67" s="32">
        <v>16</v>
      </c>
      <c r="K67" s="32">
        <v>28</v>
      </c>
      <c r="L67" s="32">
        <v>111</v>
      </c>
      <c r="M67" s="32">
        <v>125</v>
      </c>
      <c r="N67" s="32">
        <v>6</v>
      </c>
      <c r="O67" s="32">
        <v>4</v>
      </c>
      <c r="P67" s="30"/>
      <c r="Q67" s="104">
        <f>SUM($C67:P67)</f>
        <v>656</v>
      </c>
      <c r="R67" t="str">
        <f>" 中濃圏域（N = "&amp;Q67&amp;" : n = "&amp;B67&amp;"）"</f>
        <v xml:space="preserve"> 中濃圏域（N = 656 : n = 211）</v>
      </c>
    </row>
    <row r="68" spans="1:31" x14ac:dyDescent="0.2">
      <c r="A68" s="298"/>
      <c r="B68" s="20">
        <f>B67/$B$61*100</f>
        <v>19.627906976744185</v>
      </c>
      <c r="C68" s="20">
        <f t="shared" ref="C68" si="70">C67/$B67*100</f>
        <v>64.928909952606645</v>
      </c>
      <c r="D68" s="207">
        <f t="shared" ref="D68" si="71">D67/$B67*100</f>
        <v>14.218009478672986</v>
      </c>
      <c r="E68" s="207">
        <f t="shared" ref="E68" si="72">E67/$B67*100</f>
        <v>33.175355450236964</v>
      </c>
      <c r="F68" s="207">
        <f t="shared" ref="F68" si="73">F67/$B67*100</f>
        <v>42.18009478672986</v>
      </c>
      <c r="G68" s="207">
        <f t="shared" ref="G68" si="74">G67/$B67*100</f>
        <v>15.639810426540285</v>
      </c>
      <c r="H68" s="207">
        <f t="shared" ref="H68" si="75">H67/$B67*100</f>
        <v>0.94786729857819907</v>
      </c>
      <c r="I68" s="207">
        <f t="shared" ref="I68" si="76">I67/$B67*100</f>
        <v>2.3696682464454977</v>
      </c>
      <c r="J68" s="207">
        <f t="shared" ref="J68" si="77">J67/$B67*100</f>
        <v>7.5829383886255926</v>
      </c>
      <c r="K68" s="207">
        <f t="shared" ref="K68" si="78">K67/$B67*100</f>
        <v>13.270142180094787</v>
      </c>
      <c r="L68" s="207">
        <f t="shared" ref="L68" si="79">L67/$B67*100</f>
        <v>52.606635071090047</v>
      </c>
      <c r="M68" s="207">
        <f t="shared" ref="M68" si="80">M67/$B67*100</f>
        <v>59.241706161137444</v>
      </c>
      <c r="N68" s="207">
        <f t="shared" ref="N68" si="81">N67/$B67*100</f>
        <v>2.8436018957345972</v>
      </c>
      <c r="O68" s="207">
        <f t="shared" ref="O68" si="82">O67/$B67*100</f>
        <v>1.8957345971563981</v>
      </c>
      <c r="P68" s="208"/>
      <c r="Q68" s="195"/>
    </row>
    <row r="69" spans="1:31" ht="13.5" customHeight="1" x14ac:dyDescent="0.2">
      <c r="A69" s="297" t="str">
        <f>"東濃圏域(n = "&amp;B69&amp;" )　　"</f>
        <v>東濃圏域(n = 145 )　　</v>
      </c>
      <c r="B69" s="34">
        <v>145</v>
      </c>
      <c r="C69" s="31">
        <v>94</v>
      </c>
      <c r="D69" s="32">
        <v>21</v>
      </c>
      <c r="E69" s="32">
        <v>45</v>
      </c>
      <c r="F69" s="32">
        <v>47</v>
      </c>
      <c r="G69" s="32">
        <v>26</v>
      </c>
      <c r="H69" s="32">
        <v>3</v>
      </c>
      <c r="I69" s="32">
        <v>4</v>
      </c>
      <c r="J69" s="32">
        <v>6</v>
      </c>
      <c r="K69" s="32">
        <v>19</v>
      </c>
      <c r="L69" s="32">
        <v>76</v>
      </c>
      <c r="M69" s="32">
        <v>72</v>
      </c>
      <c r="N69" s="32">
        <v>3</v>
      </c>
      <c r="O69" s="32">
        <v>3</v>
      </c>
      <c r="P69" s="30"/>
      <c r="Q69" s="104">
        <f>SUM($C69:P69)</f>
        <v>419</v>
      </c>
      <c r="R69" t="str">
        <f>" 東濃圏域（N = "&amp;Q69&amp;" : n = "&amp;B69&amp;"）"</f>
        <v xml:space="preserve"> 東濃圏域（N = 419 : n = 145）</v>
      </c>
    </row>
    <row r="70" spans="1:31" x14ac:dyDescent="0.2">
      <c r="A70" s="298"/>
      <c r="B70" s="20">
        <f>B69/$B$61*100</f>
        <v>13.488372093023257</v>
      </c>
      <c r="C70" s="20">
        <f t="shared" ref="C70" si="83">C69/$B69*100</f>
        <v>64.827586206896541</v>
      </c>
      <c r="D70" s="207">
        <f t="shared" ref="D70" si="84">D69/$B69*100</f>
        <v>14.482758620689657</v>
      </c>
      <c r="E70" s="207">
        <f t="shared" ref="E70" si="85">E69/$B69*100</f>
        <v>31.03448275862069</v>
      </c>
      <c r="F70" s="207">
        <f t="shared" ref="F70" si="86">F69/$B69*100</f>
        <v>32.41379310344827</v>
      </c>
      <c r="G70" s="207">
        <f t="shared" ref="G70" si="87">G69/$B69*100</f>
        <v>17.931034482758619</v>
      </c>
      <c r="H70" s="207">
        <f t="shared" ref="H70" si="88">H69/$B69*100</f>
        <v>2.0689655172413794</v>
      </c>
      <c r="I70" s="207">
        <f t="shared" ref="I70" si="89">I69/$B69*100</f>
        <v>2.7586206896551726</v>
      </c>
      <c r="J70" s="207">
        <f t="shared" ref="J70" si="90">J69/$B69*100</f>
        <v>4.1379310344827589</v>
      </c>
      <c r="K70" s="207">
        <f t="shared" ref="K70" si="91">K69/$B69*100</f>
        <v>13.103448275862069</v>
      </c>
      <c r="L70" s="207">
        <f t="shared" ref="L70" si="92">L69/$B69*100</f>
        <v>52.413793103448278</v>
      </c>
      <c r="M70" s="207">
        <f t="shared" ref="M70" si="93">M69/$B69*100</f>
        <v>49.655172413793103</v>
      </c>
      <c r="N70" s="207">
        <f t="shared" ref="N70" si="94">N69/$B69*100</f>
        <v>2.0689655172413794</v>
      </c>
      <c r="O70" s="207">
        <f t="shared" ref="O70" si="95">O69/$B69*100</f>
        <v>2.0689655172413794</v>
      </c>
      <c r="P70" s="208"/>
      <c r="Q70" s="195"/>
    </row>
    <row r="71" spans="1:31" ht="13.5" customHeight="1" x14ac:dyDescent="0.2">
      <c r="A71" s="297" t="str">
        <f>"飛騨圏域(n = "&amp;B71&amp;" )　　"</f>
        <v>飛騨圏域(n = 75 )　　</v>
      </c>
      <c r="B71" s="34">
        <v>75</v>
      </c>
      <c r="C71" s="31">
        <v>56</v>
      </c>
      <c r="D71" s="32">
        <v>17</v>
      </c>
      <c r="E71" s="32">
        <v>27</v>
      </c>
      <c r="F71" s="32">
        <v>32</v>
      </c>
      <c r="G71" s="32">
        <v>10</v>
      </c>
      <c r="H71" s="32">
        <v>0</v>
      </c>
      <c r="I71" s="32">
        <v>1</v>
      </c>
      <c r="J71" s="32">
        <v>6</v>
      </c>
      <c r="K71" s="32">
        <v>18</v>
      </c>
      <c r="L71" s="32">
        <v>38</v>
      </c>
      <c r="M71" s="32">
        <v>33</v>
      </c>
      <c r="N71" s="32">
        <v>1</v>
      </c>
      <c r="O71" s="32">
        <v>0</v>
      </c>
      <c r="P71" s="30"/>
      <c r="Q71" s="104">
        <f>SUM($C71:P71)</f>
        <v>239</v>
      </c>
      <c r="R71" t="str">
        <f>" 飛騨圏域（N = "&amp;Q71&amp;" : n = "&amp;B71&amp;"）"</f>
        <v xml:space="preserve"> 飛騨圏域（N = 239 : n = 75）</v>
      </c>
    </row>
    <row r="72" spans="1:31" x14ac:dyDescent="0.2">
      <c r="A72" s="298"/>
      <c r="B72" s="20">
        <f>B71/$B$61*100</f>
        <v>6.9767441860465116</v>
      </c>
      <c r="C72" s="20">
        <f t="shared" ref="C72" si="96">C71/$B71*100</f>
        <v>74.666666666666671</v>
      </c>
      <c r="D72" s="207">
        <f t="shared" ref="D72" si="97">D71/$B71*100</f>
        <v>22.666666666666664</v>
      </c>
      <c r="E72" s="207">
        <f t="shared" ref="E72" si="98">E71/$B71*100</f>
        <v>36</v>
      </c>
      <c r="F72" s="207">
        <f t="shared" ref="F72" si="99">F71/$B71*100</f>
        <v>42.666666666666671</v>
      </c>
      <c r="G72" s="207">
        <f t="shared" ref="G72" si="100">G71/$B71*100</f>
        <v>13.333333333333334</v>
      </c>
      <c r="H72" s="207">
        <f t="shared" ref="H72" si="101">H71/$B71*100</f>
        <v>0</v>
      </c>
      <c r="I72" s="207">
        <f t="shared" ref="I72" si="102">I71/$B71*100</f>
        <v>1.3333333333333335</v>
      </c>
      <c r="J72" s="207">
        <f t="shared" ref="J72" si="103">J71/$B71*100</f>
        <v>8</v>
      </c>
      <c r="K72" s="207">
        <f t="shared" ref="K72" si="104">K71/$B71*100</f>
        <v>24</v>
      </c>
      <c r="L72" s="207">
        <f t="shared" ref="L72" si="105">L71/$B71*100</f>
        <v>50.666666666666671</v>
      </c>
      <c r="M72" s="207">
        <f t="shared" ref="M72" si="106">M71/$B71*100</f>
        <v>44</v>
      </c>
      <c r="N72" s="207">
        <f t="shared" ref="N72" si="107">N71/$B71*100</f>
        <v>1.3333333333333335</v>
      </c>
      <c r="O72" s="207">
        <f t="shared" ref="O72" si="108">O71/$B71*100</f>
        <v>0</v>
      </c>
      <c r="P72" s="208"/>
      <c r="Q72" s="195"/>
    </row>
    <row r="73" spans="1:31" s="186" customFormat="1" x14ac:dyDescent="0.2">
      <c r="A73" s="184"/>
      <c r="B73" s="182"/>
      <c r="C73" s="172">
        <f>_xlfn.RANK.EQ(C62,$C$62:$P$62,0)</f>
        <v>1</v>
      </c>
      <c r="D73" s="172">
        <f t="shared" ref="D73:P73" si="109">_xlfn.RANK.EQ(D62,$C$62:$P$62,0)</f>
        <v>9</v>
      </c>
      <c r="E73" s="172">
        <f t="shared" si="109"/>
        <v>5</v>
      </c>
      <c r="F73" s="172">
        <f t="shared" si="109"/>
        <v>3</v>
      </c>
      <c r="G73" s="172">
        <f t="shared" si="109"/>
        <v>6</v>
      </c>
      <c r="H73" s="172">
        <f t="shared" si="109"/>
        <v>11</v>
      </c>
      <c r="I73" s="172">
        <f t="shared" si="109"/>
        <v>10</v>
      </c>
      <c r="J73" s="172">
        <f t="shared" si="109"/>
        <v>7</v>
      </c>
      <c r="K73" s="172">
        <f t="shared" si="109"/>
        <v>8</v>
      </c>
      <c r="L73" s="172">
        <f t="shared" si="109"/>
        <v>4</v>
      </c>
      <c r="M73" s="172">
        <f t="shared" si="109"/>
        <v>2</v>
      </c>
      <c r="N73" s="172">
        <f t="shared" si="109"/>
        <v>12</v>
      </c>
      <c r="O73" s="172">
        <f t="shared" si="109"/>
        <v>13</v>
      </c>
      <c r="P73" s="172" t="e">
        <f t="shared" si="109"/>
        <v>#N/A</v>
      </c>
      <c r="Q73" s="185"/>
    </row>
    <row r="74" spans="1:3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R75" s="45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7.5" customHeight="1" x14ac:dyDescent="0.2">
      <c r="A76" s="12" t="str">
        <f>A60</f>
        <v>【居住圏域別】</v>
      </c>
      <c r="B76" s="59" t="str">
        <f>B41</f>
        <v>調査数</v>
      </c>
      <c r="C76" s="60" t="s">
        <v>131</v>
      </c>
      <c r="D76" s="61" t="s">
        <v>223</v>
      </c>
      <c r="E76" s="61" t="s">
        <v>222</v>
      </c>
      <c r="F76" s="61" t="s">
        <v>179</v>
      </c>
      <c r="G76" s="61" t="s">
        <v>225</v>
      </c>
      <c r="H76" s="61" t="s">
        <v>224</v>
      </c>
      <c r="I76" s="61" t="s">
        <v>226</v>
      </c>
      <c r="J76" s="61" t="s">
        <v>227</v>
      </c>
      <c r="K76" s="61" t="s">
        <v>228</v>
      </c>
      <c r="L76" s="61" t="s">
        <v>229</v>
      </c>
      <c r="M76" s="61" t="s">
        <v>230</v>
      </c>
      <c r="N76" s="61" t="s">
        <v>57</v>
      </c>
      <c r="O76" s="61" t="s">
        <v>75</v>
      </c>
      <c r="P76" s="63"/>
      <c r="Q76" s="44" t="s">
        <v>32</v>
      </c>
      <c r="R76" s="12" t="str">
        <f>A76</f>
        <v>【居住圏域別】</v>
      </c>
      <c r="S76" s="60" t="str">
        <f t="shared" ref="S76:AE76" si="110">C76</f>
        <v>自然が豊かである</v>
      </c>
      <c r="T76" s="61" t="str">
        <f t="shared" si="110"/>
        <v>災害が少ない</v>
      </c>
      <c r="U76" s="61" t="str">
        <f t="shared" si="110"/>
        <v>食事、買い物が便利である</v>
      </c>
      <c r="V76" s="61" t="str">
        <f t="shared" si="110"/>
        <v>治安がよい</v>
      </c>
      <c r="W76" s="61" t="str">
        <f t="shared" si="110"/>
        <v>　　　ウォーキングなど気軽に
体を動かせる場が近くにある</v>
      </c>
      <c r="X76" s="61" t="str">
        <f t="shared" si="110"/>
        <v>交通の便がよい</v>
      </c>
      <c r="Y76" s="62" t="str">
        <f t="shared" si="110"/>
        <v>医療、福祉サービスが充実している</v>
      </c>
      <c r="Z76" s="156" t="str">
        <f t="shared" si="110"/>
        <v>住民相互の交流がある</v>
      </c>
      <c r="AA76" s="61" t="str">
        <f t="shared" si="110"/>
        <v>町並みなどの景観がよい</v>
      </c>
      <c r="AB76" s="105" t="str">
        <f t="shared" si="110"/>
        <v>教育、文化、スポーツの施設が充実している</v>
      </c>
      <c r="AC76" s="61" t="str">
        <f t="shared" si="110"/>
        <v>働く場が多い</v>
      </c>
      <c r="AD76" s="62" t="str">
        <f t="shared" si="110"/>
        <v>その他</v>
      </c>
      <c r="AE76" s="63" t="str">
        <f t="shared" si="110"/>
        <v>特にない</v>
      </c>
    </row>
    <row r="77" spans="1:31" ht="12.75" customHeight="1" x14ac:dyDescent="0.2">
      <c r="A77" s="269" t="str">
        <f>A61</f>
        <v>全体(n = 1087 )　　</v>
      </c>
      <c r="B77" s="113">
        <f t="shared" ref="B77:B88" si="111">B61</f>
        <v>1075</v>
      </c>
      <c r="C77" s="121">
        <v>571</v>
      </c>
      <c r="D77" s="122">
        <v>554</v>
      </c>
      <c r="E77" s="122">
        <v>547</v>
      </c>
      <c r="F77" s="122">
        <v>517</v>
      </c>
      <c r="G77" s="122">
        <v>318</v>
      </c>
      <c r="H77" s="122">
        <v>302</v>
      </c>
      <c r="I77" s="122">
        <v>141</v>
      </c>
      <c r="J77" s="122">
        <v>127</v>
      </c>
      <c r="K77" s="122">
        <v>126</v>
      </c>
      <c r="L77" s="122">
        <v>46</v>
      </c>
      <c r="M77" s="122">
        <v>25</v>
      </c>
      <c r="N77" s="122">
        <v>24</v>
      </c>
      <c r="O77" s="122">
        <v>17</v>
      </c>
      <c r="P77" s="124"/>
      <c r="R77" s="93" t="str">
        <f>A79</f>
        <v>岐阜圏域(n = 431 )　　</v>
      </c>
      <c r="S77" s="84">
        <f t="shared" ref="S77:AE77" si="112">C80</f>
        <v>41.995359628770302</v>
      </c>
      <c r="T77" s="85">
        <f t="shared" si="112"/>
        <v>50.580046403712295</v>
      </c>
      <c r="U77" s="85">
        <f t="shared" si="112"/>
        <v>62.645011600928072</v>
      </c>
      <c r="V77" s="85">
        <f t="shared" si="112"/>
        <v>44.547563805104403</v>
      </c>
      <c r="W77" s="85">
        <f t="shared" si="112"/>
        <v>25.522041763341068</v>
      </c>
      <c r="X77" s="85">
        <f t="shared" si="112"/>
        <v>41.299303944315547</v>
      </c>
      <c r="Y77" s="86">
        <f t="shared" si="112"/>
        <v>15.545243619489559</v>
      </c>
      <c r="Z77" s="161">
        <f t="shared" si="112"/>
        <v>8.3526682134570756</v>
      </c>
      <c r="AA77" s="85">
        <f t="shared" si="112"/>
        <v>7.8886310904872383</v>
      </c>
      <c r="AB77" s="157">
        <f t="shared" si="112"/>
        <v>5.8004640371229694</v>
      </c>
      <c r="AC77" s="85">
        <f t="shared" si="112"/>
        <v>1.8561484918793503</v>
      </c>
      <c r="AD77" s="86">
        <f t="shared" si="112"/>
        <v>1.8561484918793503</v>
      </c>
      <c r="AE77" s="87">
        <f t="shared" si="112"/>
        <v>2.3201856148491879</v>
      </c>
    </row>
    <row r="78" spans="1:31" ht="12.75" customHeight="1" x14ac:dyDescent="0.2">
      <c r="A78" s="270"/>
      <c r="B78" s="114">
        <f t="shared" si="111"/>
        <v>100</v>
      </c>
      <c r="C78" s="125">
        <v>53.116279069767444</v>
      </c>
      <c r="D78" s="126">
        <v>51.534883720930239</v>
      </c>
      <c r="E78" s="126">
        <v>50.883720930232556</v>
      </c>
      <c r="F78" s="126">
        <v>48.093023255813954</v>
      </c>
      <c r="G78" s="126">
        <v>29.581395348837209</v>
      </c>
      <c r="H78" s="126">
        <v>28.093023255813954</v>
      </c>
      <c r="I78" s="126">
        <v>13.116279069767442</v>
      </c>
      <c r="J78" s="126">
        <v>11.813953488372093</v>
      </c>
      <c r="K78" s="126">
        <v>11.720930232558139</v>
      </c>
      <c r="L78" s="126">
        <v>4.279069767441861</v>
      </c>
      <c r="M78" s="126">
        <v>2.3255813953488373</v>
      </c>
      <c r="N78" s="126">
        <v>2.2325581395348837</v>
      </c>
      <c r="O78" s="126">
        <v>1.5813953488372092</v>
      </c>
      <c r="P78" s="128"/>
      <c r="R78" s="95" t="str">
        <f>A81</f>
        <v>西濃圏域(n = 213 )　　</v>
      </c>
      <c r="S78" s="88">
        <f t="shared" ref="S78:AE78" si="113">C82</f>
        <v>48.356807511737088</v>
      </c>
      <c r="T78" s="89">
        <f t="shared" si="113"/>
        <v>49.76525821596244</v>
      </c>
      <c r="U78" s="89">
        <f t="shared" si="113"/>
        <v>51.173708920187785</v>
      </c>
      <c r="V78" s="89">
        <f t="shared" si="113"/>
        <v>46.948356807511736</v>
      </c>
      <c r="W78" s="89">
        <f t="shared" si="113"/>
        <v>30.985915492957744</v>
      </c>
      <c r="X78" s="89">
        <f t="shared" si="113"/>
        <v>25.821596244131456</v>
      </c>
      <c r="Y78" s="90">
        <f t="shared" si="113"/>
        <v>21.5962441314554</v>
      </c>
      <c r="Z78" s="162">
        <f t="shared" si="113"/>
        <v>12.206572769953052</v>
      </c>
      <c r="AA78" s="89">
        <f t="shared" si="113"/>
        <v>11.267605633802818</v>
      </c>
      <c r="AB78" s="158">
        <f t="shared" si="113"/>
        <v>5.164319248826291</v>
      </c>
      <c r="AC78" s="89">
        <f t="shared" si="113"/>
        <v>5.6338028169014089</v>
      </c>
      <c r="AD78" s="90">
        <f t="shared" si="113"/>
        <v>2.8169014084507045</v>
      </c>
      <c r="AE78" s="91">
        <f t="shared" si="113"/>
        <v>0</v>
      </c>
    </row>
    <row r="79" spans="1:31" ht="12.75" customHeight="1" x14ac:dyDescent="0.2">
      <c r="A79" s="269" t="str">
        <f>A63</f>
        <v>岐阜圏域(n = 431 )　　</v>
      </c>
      <c r="B79" s="113">
        <f t="shared" si="111"/>
        <v>431</v>
      </c>
      <c r="C79" s="129">
        <v>181</v>
      </c>
      <c r="D79" s="130">
        <v>218</v>
      </c>
      <c r="E79" s="130">
        <v>270</v>
      </c>
      <c r="F79" s="130">
        <v>192</v>
      </c>
      <c r="G79" s="130">
        <v>110</v>
      </c>
      <c r="H79" s="130">
        <v>178</v>
      </c>
      <c r="I79" s="130">
        <v>67</v>
      </c>
      <c r="J79" s="130">
        <v>36</v>
      </c>
      <c r="K79" s="130">
        <v>34</v>
      </c>
      <c r="L79" s="130">
        <v>25</v>
      </c>
      <c r="M79" s="130">
        <v>8</v>
      </c>
      <c r="N79" s="130">
        <v>8</v>
      </c>
      <c r="O79" s="130">
        <v>10</v>
      </c>
      <c r="P79" s="131"/>
      <c r="Q79" s="166"/>
      <c r="R79" s="95" t="str">
        <f>A83</f>
        <v>中濃圏域(n = 211 )　　</v>
      </c>
      <c r="S79" s="88">
        <f t="shared" ref="S79:AE79" si="114">C84</f>
        <v>64.928909952606645</v>
      </c>
      <c r="T79" s="89">
        <f t="shared" si="114"/>
        <v>59.241706161137444</v>
      </c>
      <c r="U79" s="89">
        <f t="shared" si="114"/>
        <v>42.18009478672986</v>
      </c>
      <c r="V79" s="89">
        <f t="shared" si="114"/>
        <v>52.606635071090047</v>
      </c>
      <c r="W79" s="89">
        <f t="shared" si="114"/>
        <v>33.175355450236964</v>
      </c>
      <c r="X79" s="89">
        <f t="shared" si="114"/>
        <v>15.639810426540285</v>
      </c>
      <c r="Y79" s="90">
        <f t="shared" si="114"/>
        <v>7.5829383886255926</v>
      </c>
      <c r="Z79" s="162">
        <f t="shared" si="114"/>
        <v>13.270142180094787</v>
      </c>
      <c r="AA79" s="89">
        <f t="shared" si="114"/>
        <v>14.218009478672986</v>
      </c>
      <c r="AB79" s="158">
        <f t="shared" si="114"/>
        <v>2.3696682464454977</v>
      </c>
      <c r="AC79" s="89">
        <f t="shared" si="114"/>
        <v>0.94786729857819907</v>
      </c>
      <c r="AD79" s="90">
        <f t="shared" si="114"/>
        <v>2.8436018957345972</v>
      </c>
      <c r="AE79" s="91">
        <f t="shared" si="114"/>
        <v>1.8957345971563981</v>
      </c>
    </row>
    <row r="80" spans="1:31" ht="13.5" customHeight="1" x14ac:dyDescent="0.2">
      <c r="A80" s="270"/>
      <c r="B80" s="114">
        <f t="shared" si="111"/>
        <v>40.093023255813954</v>
      </c>
      <c r="C80" s="125">
        <v>41.995359628770302</v>
      </c>
      <c r="D80" s="126">
        <v>50.580046403712295</v>
      </c>
      <c r="E80" s="126">
        <v>62.645011600928072</v>
      </c>
      <c r="F80" s="126">
        <v>44.547563805104403</v>
      </c>
      <c r="G80" s="126">
        <v>25.522041763341068</v>
      </c>
      <c r="H80" s="126">
        <v>41.299303944315547</v>
      </c>
      <c r="I80" s="126">
        <v>15.545243619489559</v>
      </c>
      <c r="J80" s="126">
        <v>8.3526682134570756</v>
      </c>
      <c r="K80" s="126">
        <v>7.8886310904872383</v>
      </c>
      <c r="L80" s="126">
        <v>5.8004640371229694</v>
      </c>
      <c r="M80" s="126">
        <v>1.8561484918793503</v>
      </c>
      <c r="N80" s="126">
        <v>1.8561484918793503</v>
      </c>
      <c r="O80" s="126">
        <v>2.3201856148491879</v>
      </c>
      <c r="P80" s="128"/>
      <c r="R80" s="95" t="str">
        <f>A85</f>
        <v>東濃圏域(n = 145 )　　</v>
      </c>
      <c r="S80" s="88">
        <f t="shared" ref="S80:AE80" si="115">C86</f>
        <v>64.827586206896541</v>
      </c>
      <c r="T80" s="89">
        <f t="shared" si="115"/>
        <v>49.655172413793103</v>
      </c>
      <c r="U80" s="89">
        <f t="shared" si="115"/>
        <v>32.41379310344827</v>
      </c>
      <c r="V80" s="89">
        <f t="shared" si="115"/>
        <v>52.413793103448278</v>
      </c>
      <c r="W80" s="89">
        <f t="shared" si="115"/>
        <v>31.03448275862069</v>
      </c>
      <c r="X80" s="89">
        <f t="shared" si="115"/>
        <v>17.931034482758619</v>
      </c>
      <c r="Y80" s="90">
        <f t="shared" si="115"/>
        <v>4.1379310344827589</v>
      </c>
      <c r="Z80" s="162">
        <f t="shared" si="115"/>
        <v>13.103448275862069</v>
      </c>
      <c r="AA80" s="89">
        <f t="shared" si="115"/>
        <v>14.482758620689657</v>
      </c>
      <c r="AB80" s="158">
        <f t="shared" si="115"/>
        <v>2.7586206896551726</v>
      </c>
      <c r="AC80" s="89">
        <f t="shared" si="115"/>
        <v>2.0689655172413794</v>
      </c>
      <c r="AD80" s="90">
        <f t="shared" si="115"/>
        <v>2.0689655172413794</v>
      </c>
      <c r="AE80" s="91">
        <f t="shared" si="115"/>
        <v>2.0689655172413794</v>
      </c>
    </row>
    <row r="81" spans="1:31" ht="13.5" customHeight="1" x14ac:dyDescent="0.2">
      <c r="A81" s="269" t="str">
        <f>A65</f>
        <v>西濃圏域(n = 213 )　　</v>
      </c>
      <c r="B81" s="113">
        <f t="shared" si="111"/>
        <v>213</v>
      </c>
      <c r="C81" s="129">
        <v>103</v>
      </c>
      <c r="D81" s="130">
        <v>106</v>
      </c>
      <c r="E81" s="130">
        <v>109</v>
      </c>
      <c r="F81" s="130">
        <v>100</v>
      </c>
      <c r="G81" s="130">
        <v>66</v>
      </c>
      <c r="H81" s="130">
        <v>55</v>
      </c>
      <c r="I81" s="130">
        <v>46</v>
      </c>
      <c r="J81" s="130">
        <v>26</v>
      </c>
      <c r="K81" s="130">
        <v>24</v>
      </c>
      <c r="L81" s="130">
        <v>11</v>
      </c>
      <c r="M81" s="130">
        <v>12</v>
      </c>
      <c r="N81" s="130">
        <v>6</v>
      </c>
      <c r="O81" s="130">
        <v>0</v>
      </c>
      <c r="P81" s="131"/>
      <c r="R81" s="94" t="str">
        <f>A87</f>
        <v>飛騨圏域(n = 75 )　　</v>
      </c>
      <c r="S81" s="78">
        <f t="shared" ref="S81:AE81" si="116">C88</f>
        <v>74.666666666666671</v>
      </c>
      <c r="T81" s="79">
        <f t="shared" si="116"/>
        <v>44</v>
      </c>
      <c r="U81" s="79">
        <f t="shared" si="116"/>
        <v>42.666666666666671</v>
      </c>
      <c r="V81" s="79">
        <f t="shared" si="116"/>
        <v>50.666666666666671</v>
      </c>
      <c r="W81" s="79">
        <f t="shared" si="116"/>
        <v>36</v>
      </c>
      <c r="X81" s="79">
        <f t="shared" si="116"/>
        <v>13.333333333333334</v>
      </c>
      <c r="Y81" s="80">
        <f t="shared" si="116"/>
        <v>8</v>
      </c>
      <c r="Z81" s="164">
        <f t="shared" si="116"/>
        <v>24</v>
      </c>
      <c r="AA81" s="79">
        <f t="shared" si="116"/>
        <v>22.666666666666664</v>
      </c>
      <c r="AB81" s="160">
        <f t="shared" si="116"/>
        <v>1.3333333333333335</v>
      </c>
      <c r="AC81" s="79">
        <f t="shared" si="116"/>
        <v>0</v>
      </c>
      <c r="AD81" s="80">
        <f t="shared" si="116"/>
        <v>1.3333333333333335</v>
      </c>
      <c r="AE81" s="81">
        <f t="shared" si="116"/>
        <v>0</v>
      </c>
    </row>
    <row r="82" spans="1:31" ht="13.5" customHeight="1" x14ac:dyDescent="0.2">
      <c r="A82" s="270"/>
      <c r="B82" s="114">
        <f t="shared" si="111"/>
        <v>19.813953488372093</v>
      </c>
      <c r="C82" s="125">
        <v>48.356807511737088</v>
      </c>
      <c r="D82" s="126">
        <v>49.76525821596244</v>
      </c>
      <c r="E82" s="126">
        <v>51.173708920187785</v>
      </c>
      <c r="F82" s="126">
        <v>46.948356807511736</v>
      </c>
      <c r="G82" s="126">
        <v>30.985915492957744</v>
      </c>
      <c r="H82" s="126">
        <v>25.821596244131456</v>
      </c>
      <c r="I82" s="126">
        <v>21.5962441314554</v>
      </c>
      <c r="J82" s="126">
        <v>12.206572769953052</v>
      </c>
      <c r="K82" s="126">
        <v>11.267605633802818</v>
      </c>
      <c r="L82" s="126">
        <v>5.164319248826291</v>
      </c>
      <c r="M82" s="126">
        <v>5.6338028169014089</v>
      </c>
      <c r="N82" s="126">
        <v>2.8169014084507045</v>
      </c>
      <c r="O82" s="126">
        <v>0</v>
      </c>
      <c r="P82" s="128"/>
    </row>
    <row r="83" spans="1:31" ht="13.5" customHeight="1" x14ac:dyDescent="0.2">
      <c r="A83" s="269" t="str">
        <f>A67</f>
        <v>中濃圏域(n = 211 )　　</v>
      </c>
      <c r="B83" s="113">
        <f t="shared" si="111"/>
        <v>211</v>
      </c>
      <c r="C83" s="129">
        <v>137</v>
      </c>
      <c r="D83" s="130">
        <v>125</v>
      </c>
      <c r="E83" s="130">
        <v>89</v>
      </c>
      <c r="F83" s="130">
        <v>111</v>
      </c>
      <c r="G83" s="130">
        <v>70</v>
      </c>
      <c r="H83" s="130">
        <v>33</v>
      </c>
      <c r="I83" s="130">
        <v>16</v>
      </c>
      <c r="J83" s="130">
        <v>28</v>
      </c>
      <c r="K83" s="130">
        <v>30</v>
      </c>
      <c r="L83" s="130">
        <v>5</v>
      </c>
      <c r="M83" s="130">
        <v>2</v>
      </c>
      <c r="N83" s="130">
        <v>6</v>
      </c>
      <c r="O83" s="130">
        <v>4</v>
      </c>
      <c r="P83" s="131"/>
    </row>
    <row r="84" spans="1:31" x14ac:dyDescent="0.2">
      <c r="A84" s="270"/>
      <c r="B84" s="114">
        <f t="shared" si="111"/>
        <v>19.627906976744185</v>
      </c>
      <c r="C84" s="125">
        <v>64.928909952606645</v>
      </c>
      <c r="D84" s="126">
        <v>59.241706161137444</v>
      </c>
      <c r="E84" s="126">
        <v>42.18009478672986</v>
      </c>
      <c r="F84" s="126">
        <v>52.606635071090047</v>
      </c>
      <c r="G84" s="126">
        <v>33.175355450236964</v>
      </c>
      <c r="H84" s="126">
        <v>15.639810426540285</v>
      </c>
      <c r="I84" s="126">
        <v>7.5829383886255926</v>
      </c>
      <c r="J84" s="126">
        <v>13.270142180094787</v>
      </c>
      <c r="K84" s="126">
        <v>14.218009478672986</v>
      </c>
      <c r="L84" s="126">
        <v>2.3696682464454977</v>
      </c>
      <c r="M84" s="126">
        <v>0.94786729857819907</v>
      </c>
      <c r="N84" s="126">
        <v>2.8436018957345972</v>
      </c>
      <c r="O84" s="126">
        <v>1.8957345971563981</v>
      </c>
      <c r="P84" s="128"/>
    </row>
    <row r="85" spans="1:31" x14ac:dyDescent="0.2">
      <c r="A85" s="269" t="str">
        <f>A69</f>
        <v>東濃圏域(n = 145 )　　</v>
      </c>
      <c r="B85" s="113">
        <f t="shared" si="111"/>
        <v>145</v>
      </c>
      <c r="C85" s="129">
        <v>94</v>
      </c>
      <c r="D85" s="130">
        <v>72</v>
      </c>
      <c r="E85" s="130">
        <v>47</v>
      </c>
      <c r="F85" s="130">
        <v>76</v>
      </c>
      <c r="G85" s="130">
        <v>45</v>
      </c>
      <c r="H85" s="130">
        <v>26</v>
      </c>
      <c r="I85" s="130">
        <v>6</v>
      </c>
      <c r="J85" s="130">
        <v>19</v>
      </c>
      <c r="K85" s="130">
        <v>21</v>
      </c>
      <c r="L85" s="130">
        <v>4</v>
      </c>
      <c r="M85" s="130">
        <v>3</v>
      </c>
      <c r="N85" s="130">
        <v>3</v>
      </c>
      <c r="O85" s="130">
        <v>3</v>
      </c>
      <c r="P85" s="131"/>
    </row>
    <row r="86" spans="1:31" x14ac:dyDescent="0.2">
      <c r="A86" s="270"/>
      <c r="B86" s="114">
        <f t="shared" si="111"/>
        <v>13.488372093023257</v>
      </c>
      <c r="C86" s="125">
        <v>64.827586206896541</v>
      </c>
      <c r="D86" s="126">
        <v>49.655172413793103</v>
      </c>
      <c r="E86" s="126">
        <v>32.41379310344827</v>
      </c>
      <c r="F86" s="126">
        <v>52.413793103448278</v>
      </c>
      <c r="G86" s="126">
        <v>31.03448275862069</v>
      </c>
      <c r="H86" s="126">
        <v>17.931034482758619</v>
      </c>
      <c r="I86" s="126">
        <v>4.1379310344827589</v>
      </c>
      <c r="J86" s="126">
        <v>13.103448275862069</v>
      </c>
      <c r="K86" s="126">
        <v>14.482758620689657</v>
      </c>
      <c r="L86" s="126">
        <v>2.7586206896551726</v>
      </c>
      <c r="M86" s="126">
        <v>2.0689655172413794</v>
      </c>
      <c r="N86" s="126">
        <v>2.0689655172413794</v>
      </c>
      <c r="O86" s="126">
        <v>2.0689655172413794</v>
      </c>
      <c r="P86" s="128"/>
    </row>
    <row r="87" spans="1:31" x14ac:dyDescent="0.2">
      <c r="A87" s="269" t="str">
        <f>A71</f>
        <v>飛騨圏域(n = 75 )　　</v>
      </c>
      <c r="B87" s="113">
        <f t="shared" si="111"/>
        <v>75</v>
      </c>
      <c r="C87" s="129">
        <v>56</v>
      </c>
      <c r="D87" s="130">
        <v>33</v>
      </c>
      <c r="E87" s="130">
        <v>32</v>
      </c>
      <c r="F87" s="130">
        <v>38</v>
      </c>
      <c r="G87" s="130">
        <v>27</v>
      </c>
      <c r="H87" s="130">
        <v>10</v>
      </c>
      <c r="I87" s="130">
        <v>6</v>
      </c>
      <c r="J87" s="130">
        <v>18</v>
      </c>
      <c r="K87" s="130">
        <v>17</v>
      </c>
      <c r="L87" s="130">
        <v>1</v>
      </c>
      <c r="M87" s="130">
        <v>0</v>
      </c>
      <c r="N87" s="130">
        <v>1</v>
      </c>
      <c r="O87" s="130">
        <v>0</v>
      </c>
      <c r="P87" s="131"/>
    </row>
    <row r="88" spans="1:31" x14ac:dyDescent="0.2">
      <c r="A88" s="270"/>
      <c r="B88" s="114">
        <f t="shared" si="111"/>
        <v>6.9767441860465116</v>
      </c>
      <c r="C88" s="125">
        <v>74.666666666666671</v>
      </c>
      <c r="D88" s="126">
        <v>44</v>
      </c>
      <c r="E88" s="126">
        <v>42.666666666666671</v>
      </c>
      <c r="F88" s="126">
        <v>50.666666666666671</v>
      </c>
      <c r="G88" s="126">
        <v>36</v>
      </c>
      <c r="H88" s="126">
        <v>13.333333333333334</v>
      </c>
      <c r="I88" s="126">
        <v>8</v>
      </c>
      <c r="J88" s="126">
        <v>24</v>
      </c>
      <c r="K88" s="126">
        <v>22.666666666666664</v>
      </c>
      <c r="L88" s="126">
        <v>1.3333333333333335</v>
      </c>
      <c r="M88" s="126">
        <v>0</v>
      </c>
      <c r="N88" s="126">
        <v>1.3333333333333335</v>
      </c>
      <c r="O88" s="126">
        <v>0</v>
      </c>
      <c r="P88" s="128"/>
    </row>
  </sheetData>
  <sortState columnSort="1" ref="C41:M57">
    <sortCondition descending="1" ref="C42:M42"/>
  </sortState>
  <mergeCells count="34">
    <mergeCell ref="A85:A86"/>
    <mergeCell ref="A87:A88"/>
    <mergeCell ref="A69:A70"/>
    <mergeCell ref="A71:A72"/>
    <mergeCell ref="A77:A78"/>
    <mergeCell ref="A79:A80"/>
    <mergeCell ref="A81:A82"/>
    <mergeCell ref="A83:A84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</mergeCells>
  <phoneticPr fontId="2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/>
  </sheetPr>
  <dimension ref="A1:AE88"/>
  <sheetViews>
    <sheetView topLeftCell="A70" zoomScaleNormal="100" workbookViewId="0"/>
  </sheetViews>
  <sheetFormatPr defaultRowHeight="13.2" x14ac:dyDescent="0.2"/>
  <sheetData>
    <row r="1" spans="1:31" x14ac:dyDescent="0.2">
      <c r="A1" s="3" t="s">
        <v>169</v>
      </c>
      <c r="B1" s="1" t="s">
        <v>139</v>
      </c>
      <c r="C1" s="8"/>
      <c r="D1" s="9"/>
      <c r="E1" s="8"/>
      <c r="F1" s="8"/>
      <c r="G1" s="8"/>
      <c r="H1" s="9" t="s">
        <v>1</v>
      </c>
      <c r="I1" s="8"/>
      <c r="J1" s="8"/>
      <c r="K1" s="8"/>
      <c r="L1" s="8"/>
      <c r="M1" s="8"/>
      <c r="N1" s="8"/>
      <c r="O1" s="8"/>
      <c r="P1" s="8"/>
    </row>
    <row r="2" spans="1:31" ht="67.5" customHeight="1" x14ac:dyDescent="0.2">
      <c r="A2" s="12" t="s">
        <v>20</v>
      </c>
      <c r="B2" s="59" t="s">
        <v>3</v>
      </c>
      <c r="C2" s="60" t="s">
        <v>154</v>
      </c>
      <c r="D2" s="61" t="s">
        <v>140</v>
      </c>
      <c r="E2" s="61" t="s">
        <v>181</v>
      </c>
      <c r="F2" s="62" t="s">
        <v>141</v>
      </c>
      <c r="G2" s="61" t="s">
        <v>142</v>
      </c>
      <c r="H2" s="61" t="s">
        <v>102</v>
      </c>
      <c r="I2" s="61" t="s">
        <v>183</v>
      </c>
      <c r="J2" s="62" t="s">
        <v>143</v>
      </c>
      <c r="K2" s="62" t="s">
        <v>144</v>
      </c>
      <c r="L2" s="61" t="s">
        <v>103</v>
      </c>
      <c r="M2" s="61" t="s">
        <v>145</v>
      </c>
      <c r="N2" s="61" t="s">
        <v>101</v>
      </c>
      <c r="O2" s="61" t="s">
        <v>58</v>
      </c>
      <c r="P2" s="63"/>
      <c r="Q2" s="167" t="s">
        <v>155</v>
      </c>
    </row>
    <row r="3" spans="1:31" ht="13.5" customHeight="1" x14ac:dyDescent="0.2">
      <c r="A3" s="297" t="str">
        <f>"全体(n = "&amp;B3&amp;" )　　"</f>
        <v>全体(n = 201 )　　</v>
      </c>
      <c r="B3" s="34">
        <f t="shared" ref="B3:O3" si="0">SUM(B5,B7)</f>
        <v>201</v>
      </c>
      <c r="C3" s="31">
        <f t="shared" si="0"/>
        <v>8</v>
      </c>
      <c r="D3" s="32">
        <f t="shared" si="0"/>
        <v>22</v>
      </c>
      <c r="E3" s="32">
        <f t="shared" si="0"/>
        <v>36</v>
      </c>
      <c r="F3" s="32">
        <f t="shared" si="0"/>
        <v>126</v>
      </c>
      <c r="G3" s="32">
        <f t="shared" si="0"/>
        <v>163</v>
      </c>
      <c r="H3" s="32">
        <f t="shared" si="0"/>
        <v>71</v>
      </c>
      <c r="I3" s="32">
        <f t="shared" si="0"/>
        <v>52</v>
      </c>
      <c r="J3" s="32">
        <f t="shared" si="0"/>
        <v>66</v>
      </c>
      <c r="K3" s="32">
        <f t="shared" si="0"/>
        <v>13</v>
      </c>
      <c r="L3" s="32">
        <f t="shared" si="0"/>
        <v>4</v>
      </c>
      <c r="M3" s="32">
        <f t="shared" si="0"/>
        <v>10</v>
      </c>
      <c r="N3" s="32">
        <f t="shared" si="0"/>
        <v>34</v>
      </c>
      <c r="O3" s="32">
        <f t="shared" si="0"/>
        <v>2</v>
      </c>
      <c r="P3" s="33"/>
      <c r="Q3" s="104">
        <f>SUM($C3:P3)</f>
        <v>607</v>
      </c>
      <c r="R3" s="166">
        <f>B3</f>
        <v>201</v>
      </c>
    </row>
    <row r="4" spans="1:31" x14ac:dyDescent="0.2">
      <c r="A4" s="298"/>
      <c r="B4" s="35"/>
      <c r="C4" s="20">
        <f>C3/$B3*100</f>
        <v>3.9800995024875623</v>
      </c>
      <c r="D4" s="207">
        <f t="shared" ref="D4:O4" si="1">D3/$B3*100</f>
        <v>10.945273631840797</v>
      </c>
      <c r="E4" s="207">
        <f t="shared" si="1"/>
        <v>17.910447761194028</v>
      </c>
      <c r="F4" s="207">
        <f t="shared" si="1"/>
        <v>62.68656716417911</v>
      </c>
      <c r="G4" s="207">
        <f t="shared" si="1"/>
        <v>81.094527363184071</v>
      </c>
      <c r="H4" s="207">
        <f t="shared" si="1"/>
        <v>35.323383084577117</v>
      </c>
      <c r="I4" s="207">
        <f t="shared" si="1"/>
        <v>25.870646766169152</v>
      </c>
      <c r="J4" s="207">
        <f t="shared" si="1"/>
        <v>32.835820895522389</v>
      </c>
      <c r="K4" s="207">
        <f t="shared" si="1"/>
        <v>6.467661691542288</v>
      </c>
      <c r="L4" s="207">
        <f t="shared" si="1"/>
        <v>1.9900497512437811</v>
      </c>
      <c r="M4" s="207">
        <f t="shared" si="1"/>
        <v>4.9751243781094532</v>
      </c>
      <c r="N4" s="207">
        <f t="shared" si="1"/>
        <v>16.915422885572141</v>
      </c>
      <c r="O4" s="207">
        <f t="shared" si="1"/>
        <v>0.99502487562189057</v>
      </c>
      <c r="P4" s="208"/>
      <c r="Q4" s="195"/>
    </row>
    <row r="5" spans="1:31" ht="13.5" customHeight="1" x14ac:dyDescent="0.2">
      <c r="A5" s="297" t="str">
        <f>"男性(n = "&amp;B5&amp;" )　　"</f>
        <v>男性(n = 85 )　　</v>
      </c>
      <c r="B5" s="34">
        <v>85</v>
      </c>
      <c r="C5" s="28">
        <v>6</v>
      </c>
      <c r="D5" s="29">
        <v>15</v>
      </c>
      <c r="E5" s="29">
        <v>17</v>
      </c>
      <c r="F5" s="29">
        <v>50</v>
      </c>
      <c r="G5" s="29">
        <v>63</v>
      </c>
      <c r="H5" s="29">
        <v>28</v>
      </c>
      <c r="I5" s="29">
        <v>25</v>
      </c>
      <c r="J5" s="29">
        <v>27</v>
      </c>
      <c r="K5" s="29">
        <v>3</v>
      </c>
      <c r="L5" s="29">
        <v>0</v>
      </c>
      <c r="M5" s="29">
        <v>4</v>
      </c>
      <c r="N5" s="29">
        <v>14</v>
      </c>
      <c r="O5" s="29">
        <v>1</v>
      </c>
      <c r="P5" s="30"/>
      <c r="Q5" s="104">
        <f>SUM($C5:P5)</f>
        <v>253</v>
      </c>
      <c r="R5" s="166">
        <f>B5</f>
        <v>85</v>
      </c>
      <c r="S5" t="str">
        <f>" 男性（N = "&amp;Q5&amp;" : n = "&amp;R5&amp;"）"</f>
        <v xml:space="preserve"> 男性（N = 253 : n = 85）</v>
      </c>
    </row>
    <row r="6" spans="1:31" x14ac:dyDescent="0.2">
      <c r="A6" s="298"/>
      <c r="B6" s="20">
        <f>B5/$B$3*100</f>
        <v>42.288557213930353</v>
      </c>
      <c r="C6" s="20">
        <f>C5/$B5*100</f>
        <v>7.0588235294117645</v>
      </c>
      <c r="D6" s="207">
        <f t="shared" ref="D6:O6" si="2">D5/$B5*100</f>
        <v>17.647058823529413</v>
      </c>
      <c r="E6" s="207">
        <f t="shared" si="2"/>
        <v>20</v>
      </c>
      <c r="F6" s="207">
        <f t="shared" si="2"/>
        <v>58.82352941176471</v>
      </c>
      <c r="G6" s="207">
        <f t="shared" si="2"/>
        <v>74.117647058823536</v>
      </c>
      <c r="H6" s="207">
        <f t="shared" si="2"/>
        <v>32.941176470588232</v>
      </c>
      <c r="I6" s="207">
        <f t="shared" si="2"/>
        <v>29.411764705882355</v>
      </c>
      <c r="J6" s="207">
        <f t="shared" si="2"/>
        <v>31.764705882352938</v>
      </c>
      <c r="K6" s="207">
        <f t="shared" si="2"/>
        <v>3.5294117647058822</v>
      </c>
      <c r="L6" s="207">
        <f t="shared" si="2"/>
        <v>0</v>
      </c>
      <c r="M6" s="207">
        <f t="shared" si="2"/>
        <v>4.7058823529411766</v>
      </c>
      <c r="N6" s="207">
        <f t="shared" si="2"/>
        <v>16.470588235294116</v>
      </c>
      <c r="O6" s="207">
        <f t="shared" si="2"/>
        <v>1.1764705882352942</v>
      </c>
      <c r="P6" s="208"/>
      <c r="Q6" s="195"/>
    </row>
    <row r="7" spans="1:31" ht="13.5" customHeight="1" x14ac:dyDescent="0.2">
      <c r="A7" s="297" t="str">
        <f>"女性(n = "&amp;B7&amp;" )　　"</f>
        <v>女性(n = 116 )　　</v>
      </c>
      <c r="B7" s="34">
        <v>116</v>
      </c>
      <c r="C7" s="28">
        <v>2</v>
      </c>
      <c r="D7" s="29">
        <v>7</v>
      </c>
      <c r="E7" s="29">
        <v>19</v>
      </c>
      <c r="F7" s="29">
        <v>76</v>
      </c>
      <c r="G7" s="29">
        <v>100</v>
      </c>
      <c r="H7" s="29">
        <v>43</v>
      </c>
      <c r="I7" s="29">
        <v>27</v>
      </c>
      <c r="J7" s="29">
        <v>39</v>
      </c>
      <c r="K7" s="29">
        <v>10</v>
      </c>
      <c r="L7" s="29">
        <v>4</v>
      </c>
      <c r="M7" s="29">
        <v>6</v>
      </c>
      <c r="N7" s="29">
        <v>20</v>
      </c>
      <c r="O7" s="29">
        <v>1</v>
      </c>
      <c r="P7" s="30"/>
      <c r="Q7" s="104">
        <f>SUM($C7:P7)</f>
        <v>354</v>
      </c>
      <c r="R7" s="166">
        <f>B7</f>
        <v>116</v>
      </c>
      <c r="S7" t="str">
        <f>" 女性（N = "&amp;Q7&amp;" : n = "&amp;R7&amp;"）"</f>
        <v xml:space="preserve"> 女性（N = 354 : n = 116）</v>
      </c>
    </row>
    <row r="8" spans="1:31" x14ac:dyDescent="0.2">
      <c r="A8" s="298"/>
      <c r="B8" s="20">
        <f>B7/$B$3*100</f>
        <v>57.711442786069654</v>
      </c>
      <c r="C8" s="20">
        <f t="shared" ref="C8:O8" si="3">C7/$B7*100</f>
        <v>1.7241379310344827</v>
      </c>
      <c r="D8" s="207">
        <f t="shared" si="3"/>
        <v>6.0344827586206895</v>
      </c>
      <c r="E8" s="207">
        <f t="shared" si="3"/>
        <v>16.379310344827587</v>
      </c>
      <c r="F8" s="207">
        <f t="shared" si="3"/>
        <v>65.517241379310349</v>
      </c>
      <c r="G8" s="207">
        <f t="shared" si="3"/>
        <v>86.206896551724128</v>
      </c>
      <c r="H8" s="207">
        <f t="shared" si="3"/>
        <v>37.068965517241381</v>
      </c>
      <c r="I8" s="207">
        <f t="shared" si="3"/>
        <v>23.275862068965516</v>
      </c>
      <c r="J8" s="207">
        <f t="shared" si="3"/>
        <v>33.620689655172413</v>
      </c>
      <c r="K8" s="207">
        <f t="shared" si="3"/>
        <v>8.6206896551724146</v>
      </c>
      <c r="L8" s="207">
        <f t="shared" si="3"/>
        <v>3.4482758620689653</v>
      </c>
      <c r="M8" s="207">
        <f t="shared" si="3"/>
        <v>5.1724137931034484</v>
      </c>
      <c r="N8" s="207">
        <f t="shared" si="3"/>
        <v>17.241379310344829</v>
      </c>
      <c r="O8" s="207">
        <f t="shared" si="3"/>
        <v>0.86206896551724133</v>
      </c>
      <c r="P8" s="208"/>
      <c r="Q8" s="195"/>
    </row>
    <row r="9" spans="1:31" s="186" customFormat="1" x14ac:dyDescent="0.2">
      <c r="A9" s="184"/>
      <c r="B9" s="182"/>
      <c r="C9" s="172">
        <f>_xlfn.RANK.EQ(C4,$C$4:$P$4,0)</f>
        <v>11</v>
      </c>
      <c r="D9" s="172">
        <f t="shared" ref="D9:P9" si="4">_xlfn.RANK.EQ(D4,$C$4:$P$4,0)</f>
        <v>8</v>
      </c>
      <c r="E9" s="172">
        <f t="shared" si="4"/>
        <v>6</v>
      </c>
      <c r="F9" s="172">
        <f t="shared" si="4"/>
        <v>2</v>
      </c>
      <c r="G9" s="172">
        <f t="shared" si="4"/>
        <v>1</v>
      </c>
      <c r="H9" s="172">
        <f t="shared" si="4"/>
        <v>3</v>
      </c>
      <c r="I9" s="172">
        <f t="shared" si="4"/>
        <v>5</v>
      </c>
      <c r="J9" s="172">
        <f t="shared" si="4"/>
        <v>4</v>
      </c>
      <c r="K9" s="172">
        <f t="shared" si="4"/>
        <v>9</v>
      </c>
      <c r="L9" s="172">
        <f t="shared" si="4"/>
        <v>12</v>
      </c>
      <c r="M9" s="172">
        <f t="shared" si="4"/>
        <v>10</v>
      </c>
      <c r="N9" s="172">
        <f t="shared" si="4"/>
        <v>7</v>
      </c>
      <c r="O9" s="172">
        <f t="shared" si="4"/>
        <v>13</v>
      </c>
      <c r="P9" s="172" t="e">
        <f t="shared" si="4"/>
        <v>#N/A</v>
      </c>
    </row>
    <row r="10" spans="1:31" x14ac:dyDescent="0.2">
      <c r="A10" s="26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31" x14ac:dyDescent="0.2">
      <c r="A11" s="6" t="s">
        <v>4</v>
      </c>
      <c r="B11" s="4"/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  <c r="M11" s="27">
        <v>11</v>
      </c>
      <c r="N11" s="27">
        <v>12</v>
      </c>
      <c r="O11" s="27">
        <v>13</v>
      </c>
      <c r="P11" s="27">
        <v>14</v>
      </c>
      <c r="R11" s="45"/>
      <c r="S11" s="27">
        <v>1</v>
      </c>
      <c r="T11" s="27">
        <v>2</v>
      </c>
      <c r="U11" s="27">
        <v>3</v>
      </c>
      <c r="V11" s="27">
        <v>4</v>
      </c>
      <c r="W11" s="27">
        <v>5</v>
      </c>
      <c r="X11" s="27">
        <v>6</v>
      </c>
      <c r="Y11" s="27">
        <v>7</v>
      </c>
      <c r="Z11" s="27">
        <v>8</v>
      </c>
      <c r="AA11" s="27">
        <v>9</v>
      </c>
      <c r="AB11" s="27">
        <v>10</v>
      </c>
      <c r="AC11" s="27">
        <v>11</v>
      </c>
      <c r="AD11" s="27">
        <v>12</v>
      </c>
      <c r="AE11" s="27">
        <v>13</v>
      </c>
    </row>
    <row r="12" spans="1:31" ht="86.4" x14ac:dyDescent="0.2">
      <c r="A12" s="12" t="str">
        <f>A2</f>
        <v>【性別】</v>
      </c>
      <c r="B12" s="59" t="str">
        <f>B2</f>
        <v>調査数</v>
      </c>
      <c r="C12" s="60" t="s">
        <v>142</v>
      </c>
      <c r="D12" s="61" t="s">
        <v>141</v>
      </c>
      <c r="E12" s="61" t="s">
        <v>102</v>
      </c>
      <c r="F12" s="61" t="s">
        <v>143</v>
      </c>
      <c r="G12" s="61" t="s">
        <v>183</v>
      </c>
      <c r="H12" s="61" t="s">
        <v>181</v>
      </c>
      <c r="I12" s="61" t="s">
        <v>140</v>
      </c>
      <c r="J12" s="61" t="s">
        <v>144</v>
      </c>
      <c r="K12" s="61" t="s">
        <v>145</v>
      </c>
      <c r="L12" s="61" t="s">
        <v>154</v>
      </c>
      <c r="M12" s="62" t="s">
        <v>103</v>
      </c>
      <c r="N12" s="61" t="s">
        <v>101</v>
      </c>
      <c r="O12" s="62" t="s">
        <v>58</v>
      </c>
      <c r="P12" s="63"/>
      <c r="Q12" s="44" t="s">
        <v>32</v>
      </c>
      <c r="R12" s="12" t="str">
        <f>A12</f>
        <v>【性別】</v>
      </c>
      <c r="S12" s="60" t="str">
        <f t="shared" ref="S12:AE12" si="5">C12</f>
        <v>交通の便がよくない</v>
      </c>
      <c r="T12" s="61" t="str">
        <f t="shared" si="5"/>
        <v>食事、買い物が不便である</v>
      </c>
      <c r="U12" s="61" t="str">
        <f t="shared" si="5"/>
        <v>働く場が少ない</v>
      </c>
      <c r="V12" s="61" t="str">
        <f t="shared" si="5"/>
        <v>医療、福祉サービスが充実していない</v>
      </c>
      <c r="W12" s="61" t="str">
        <f t="shared" si="5"/>
        <v>教育、文化、スポーツの施設が充実していない</v>
      </c>
      <c r="X12" s="61" t="str">
        <f t="shared" si="5"/>
        <v>　　　ウォーキングなど気軽に
体を動かせる場が近くにない</v>
      </c>
      <c r="Y12" s="61" t="str">
        <f t="shared" si="5"/>
        <v>町並みなどの景観がよくない</v>
      </c>
      <c r="Z12" s="61" t="str">
        <f t="shared" si="5"/>
        <v>住民相互の交流がない</v>
      </c>
      <c r="AA12" s="61" t="str">
        <f t="shared" si="5"/>
        <v>災害が多い</v>
      </c>
      <c r="AB12" s="105" t="str">
        <f t="shared" si="5"/>
        <v>自然が豊かでない</v>
      </c>
      <c r="AC12" s="61" t="str">
        <f t="shared" si="5"/>
        <v>治安が悪い</v>
      </c>
      <c r="AD12" s="62" t="str">
        <f t="shared" si="5"/>
        <v>その他</v>
      </c>
      <c r="AE12" s="63" t="str">
        <f t="shared" si="5"/>
        <v>特にない</v>
      </c>
    </row>
    <row r="13" spans="1:31" ht="12.75" customHeight="1" x14ac:dyDescent="0.2">
      <c r="A13" s="269" t="str">
        <f>A3</f>
        <v>全体(n = 201 )　　</v>
      </c>
      <c r="B13" s="113">
        <f>B3</f>
        <v>201</v>
      </c>
      <c r="C13" s="121">
        <v>163</v>
      </c>
      <c r="D13" s="122">
        <v>126</v>
      </c>
      <c r="E13" s="122">
        <v>71</v>
      </c>
      <c r="F13" s="122">
        <v>66</v>
      </c>
      <c r="G13" s="122">
        <v>52</v>
      </c>
      <c r="H13" s="122">
        <v>36</v>
      </c>
      <c r="I13" s="122">
        <v>22</v>
      </c>
      <c r="J13" s="122">
        <v>13</v>
      </c>
      <c r="K13" s="122">
        <v>10</v>
      </c>
      <c r="L13" s="122">
        <v>8</v>
      </c>
      <c r="M13" s="123">
        <v>4</v>
      </c>
      <c r="N13" s="122">
        <v>34</v>
      </c>
      <c r="O13" s="123">
        <v>2</v>
      </c>
      <c r="P13" s="124"/>
      <c r="Q13" s="166">
        <f>SUM(C13:P13)</f>
        <v>607</v>
      </c>
      <c r="R13" s="93" t="str">
        <f>A15</f>
        <v>男性(n = 85 )　　</v>
      </c>
      <c r="S13" s="74">
        <f t="shared" ref="S13:AE13" si="6">C16</f>
        <v>74.117647058823536</v>
      </c>
      <c r="T13" s="75">
        <f t="shared" si="6"/>
        <v>58.82352941176471</v>
      </c>
      <c r="U13" s="75">
        <f t="shared" si="6"/>
        <v>32.941176470588232</v>
      </c>
      <c r="V13" s="75">
        <f t="shared" si="6"/>
        <v>31.764705882352938</v>
      </c>
      <c r="W13" s="75">
        <f t="shared" si="6"/>
        <v>29.411764705882355</v>
      </c>
      <c r="X13" s="75">
        <f t="shared" si="6"/>
        <v>20</v>
      </c>
      <c r="Y13" s="75">
        <f t="shared" si="6"/>
        <v>17.647058823529413</v>
      </c>
      <c r="Z13" s="75">
        <f t="shared" si="6"/>
        <v>3.5294117647058822</v>
      </c>
      <c r="AA13" s="75">
        <f t="shared" si="6"/>
        <v>4.7058823529411766</v>
      </c>
      <c r="AB13" s="165">
        <f t="shared" si="6"/>
        <v>7.0588235294117645</v>
      </c>
      <c r="AC13" s="75">
        <f t="shared" si="6"/>
        <v>0</v>
      </c>
      <c r="AD13" s="76">
        <f t="shared" si="6"/>
        <v>16.470588235294116</v>
      </c>
      <c r="AE13" s="77">
        <f t="shared" si="6"/>
        <v>1.1764705882352942</v>
      </c>
    </row>
    <row r="14" spans="1:31" ht="12.75" customHeight="1" x14ac:dyDescent="0.2">
      <c r="A14" s="270"/>
      <c r="B14" s="114">
        <f>B4</f>
        <v>0</v>
      </c>
      <c r="C14" s="125">
        <v>81.094527363184071</v>
      </c>
      <c r="D14" s="126">
        <v>62.68656716417911</v>
      </c>
      <c r="E14" s="126">
        <v>35.323383084577117</v>
      </c>
      <c r="F14" s="126">
        <v>32.835820895522389</v>
      </c>
      <c r="G14" s="126">
        <v>25.870646766169152</v>
      </c>
      <c r="H14" s="126">
        <v>17.910447761194028</v>
      </c>
      <c r="I14" s="126">
        <v>10.945273631840797</v>
      </c>
      <c r="J14" s="126">
        <v>6.467661691542288</v>
      </c>
      <c r="K14" s="126">
        <v>4.9751243781094532</v>
      </c>
      <c r="L14" s="126">
        <v>3.9800995024875623</v>
      </c>
      <c r="M14" s="127">
        <v>1.9900497512437811</v>
      </c>
      <c r="N14" s="126">
        <v>16.915422885572141</v>
      </c>
      <c r="O14" s="127">
        <v>0.99502487562189057</v>
      </c>
      <c r="P14" s="128"/>
      <c r="R14" s="94" t="str">
        <f>A17</f>
        <v>女性(n = 116 )　　</v>
      </c>
      <c r="S14" s="78">
        <f t="shared" ref="S14:AE14" si="7">C18</f>
        <v>86.206896551724128</v>
      </c>
      <c r="T14" s="79">
        <f t="shared" si="7"/>
        <v>65.517241379310349</v>
      </c>
      <c r="U14" s="79">
        <f t="shared" si="7"/>
        <v>37.068965517241381</v>
      </c>
      <c r="V14" s="79">
        <f t="shared" si="7"/>
        <v>33.620689655172413</v>
      </c>
      <c r="W14" s="79">
        <f t="shared" si="7"/>
        <v>23.275862068965516</v>
      </c>
      <c r="X14" s="79">
        <f t="shared" si="7"/>
        <v>16.379310344827587</v>
      </c>
      <c r="Y14" s="79">
        <f t="shared" si="7"/>
        <v>6.0344827586206895</v>
      </c>
      <c r="Z14" s="79">
        <f t="shared" si="7"/>
        <v>8.6206896551724146</v>
      </c>
      <c r="AA14" s="79">
        <f t="shared" si="7"/>
        <v>5.1724137931034484</v>
      </c>
      <c r="AB14" s="160">
        <f t="shared" si="7"/>
        <v>1.7241379310344827</v>
      </c>
      <c r="AC14" s="79">
        <f t="shared" si="7"/>
        <v>3.4482758620689653</v>
      </c>
      <c r="AD14" s="80">
        <f t="shared" si="7"/>
        <v>17.241379310344829</v>
      </c>
      <c r="AE14" s="81">
        <f t="shared" si="7"/>
        <v>0.86206896551724133</v>
      </c>
    </row>
    <row r="15" spans="1:31" x14ac:dyDescent="0.2">
      <c r="A15" s="269" t="str">
        <f>A5</f>
        <v>男性(n = 85 )　　</v>
      </c>
      <c r="B15" s="113">
        <f>B5</f>
        <v>85</v>
      </c>
      <c r="C15" s="129">
        <v>63</v>
      </c>
      <c r="D15" s="130">
        <v>50</v>
      </c>
      <c r="E15" s="130">
        <v>28</v>
      </c>
      <c r="F15" s="130">
        <v>27</v>
      </c>
      <c r="G15" s="130">
        <v>25</v>
      </c>
      <c r="H15" s="130">
        <v>17</v>
      </c>
      <c r="I15" s="130">
        <v>15</v>
      </c>
      <c r="J15" s="130">
        <v>3</v>
      </c>
      <c r="K15" s="130">
        <v>4</v>
      </c>
      <c r="L15" s="130">
        <v>6</v>
      </c>
      <c r="M15" s="130">
        <v>0</v>
      </c>
      <c r="N15" s="130">
        <v>14</v>
      </c>
      <c r="O15" s="140">
        <v>1</v>
      </c>
      <c r="P15" s="131"/>
    </row>
    <row r="16" spans="1:31" x14ac:dyDescent="0.2">
      <c r="A16" s="270"/>
      <c r="B16" s="114">
        <f>B6</f>
        <v>42.288557213930353</v>
      </c>
      <c r="C16" s="125">
        <v>74.117647058823536</v>
      </c>
      <c r="D16" s="126">
        <v>58.82352941176471</v>
      </c>
      <c r="E16" s="126">
        <v>32.941176470588232</v>
      </c>
      <c r="F16" s="126">
        <v>31.764705882352938</v>
      </c>
      <c r="G16" s="126">
        <v>29.411764705882355</v>
      </c>
      <c r="H16" s="126">
        <v>20</v>
      </c>
      <c r="I16" s="126">
        <v>17.647058823529413</v>
      </c>
      <c r="J16" s="126">
        <v>3.5294117647058822</v>
      </c>
      <c r="K16" s="126">
        <v>4.7058823529411766</v>
      </c>
      <c r="L16" s="126">
        <v>7.0588235294117645</v>
      </c>
      <c r="M16" s="126">
        <v>0</v>
      </c>
      <c r="N16" s="126">
        <v>16.470588235294116</v>
      </c>
      <c r="O16" s="127">
        <v>1.1764705882352942</v>
      </c>
      <c r="P16" s="128"/>
    </row>
    <row r="17" spans="1:19" x14ac:dyDescent="0.2">
      <c r="A17" s="269" t="str">
        <f>A7</f>
        <v>女性(n = 116 )　　</v>
      </c>
      <c r="B17" s="113">
        <f>B7</f>
        <v>116</v>
      </c>
      <c r="C17" s="129">
        <v>100</v>
      </c>
      <c r="D17" s="130">
        <v>76</v>
      </c>
      <c r="E17" s="130">
        <v>43</v>
      </c>
      <c r="F17" s="130">
        <v>39</v>
      </c>
      <c r="G17" s="130">
        <v>27</v>
      </c>
      <c r="H17" s="130">
        <v>19</v>
      </c>
      <c r="I17" s="130">
        <v>7</v>
      </c>
      <c r="J17" s="130">
        <v>10</v>
      </c>
      <c r="K17" s="130">
        <v>6</v>
      </c>
      <c r="L17" s="130">
        <v>2</v>
      </c>
      <c r="M17" s="130">
        <v>4</v>
      </c>
      <c r="N17" s="130">
        <v>20</v>
      </c>
      <c r="O17" s="140">
        <v>1</v>
      </c>
      <c r="P17" s="131"/>
    </row>
    <row r="18" spans="1:19" x14ac:dyDescent="0.2">
      <c r="A18" s="270"/>
      <c r="B18" s="114">
        <f>B8</f>
        <v>57.711442786069654</v>
      </c>
      <c r="C18" s="125">
        <v>86.206896551724128</v>
      </c>
      <c r="D18" s="126">
        <v>65.517241379310349</v>
      </c>
      <c r="E18" s="126">
        <v>37.068965517241381</v>
      </c>
      <c r="F18" s="126">
        <v>33.620689655172413</v>
      </c>
      <c r="G18" s="126">
        <v>23.275862068965516</v>
      </c>
      <c r="H18" s="126">
        <v>16.379310344827587</v>
      </c>
      <c r="I18" s="126">
        <v>6.0344827586206895</v>
      </c>
      <c r="J18" s="126">
        <v>8.6206896551724146</v>
      </c>
      <c r="K18" s="126">
        <v>5.1724137931034484</v>
      </c>
      <c r="L18" s="126">
        <v>1.7241379310344827</v>
      </c>
      <c r="M18" s="126">
        <v>3.4482758620689653</v>
      </c>
      <c r="N18" s="126">
        <v>17.241379310344829</v>
      </c>
      <c r="O18" s="127">
        <v>0.86206896551724133</v>
      </c>
      <c r="P18" s="128"/>
    </row>
    <row r="20" spans="1:19" x14ac:dyDescent="0.2">
      <c r="A20" s="3" t="s">
        <v>170</v>
      </c>
      <c r="B20" s="1" t="str">
        <f>B1</f>
        <v>住んでいる地域が住みにくいと感じる点</v>
      </c>
      <c r="C20" s="8"/>
      <c r="D20" s="9"/>
      <c r="E20" s="8"/>
      <c r="F20" s="8"/>
      <c r="G20" s="8"/>
      <c r="H20" s="9" t="s">
        <v>1</v>
      </c>
      <c r="I20" s="8"/>
      <c r="J20" s="8"/>
      <c r="K20" s="8"/>
      <c r="L20" s="8"/>
      <c r="M20" s="8"/>
      <c r="N20" s="8"/>
      <c r="O20" s="8"/>
      <c r="P20" s="8"/>
    </row>
    <row r="21" spans="1:19" ht="86.4" x14ac:dyDescent="0.2">
      <c r="A21" s="12" t="s">
        <v>59</v>
      </c>
      <c r="B21" s="59" t="str">
        <f>B2</f>
        <v>調査数</v>
      </c>
      <c r="C21" s="60" t="str">
        <f t="shared" ref="C21:O21" si="8">C2</f>
        <v>自然が豊かでない</v>
      </c>
      <c r="D21" s="61" t="str">
        <f t="shared" si="8"/>
        <v>町並みなどの景観がよくない</v>
      </c>
      <c r="E21" s="61" t="str">
        <f t="shared" si="8"/>
        <v>　　　ウォーキングなど気軽に
体を動かせる場が近くにない</v>
      </c>
      <c r="F21" s="61" t="str">
        <f t="shared" si="8"/>
        <v>食事、買い物が不便である</v>
      </c>
      <c r="G21" s="61" t="str">
        <f t="shared" si="8"/>
        <v>交通の便がよくない</v>
      </c>
      <c r="H21" s="61" t="str">
        <f t="shared" si="8"/>
        <v>働く場が少ない</v>
      </c>
      <c r="I21" s="61" t="str">
        <f t="shared" si="8"/>
        <v>教育、文化、スポーツの施設が充実していない</v>
      </c>
      <c r="J21" s="61" t="str">
        <f t="shared" si="8"/>
        <v>医療、福祉サービスが充実していない</v>
      </c>
      <c r="K21" s="61" t="str">
        <f t="shared" si="8"/>
        <v>住民相互の交流がない</v>
      </c>
      <c r="L21" s="61" t="str">
        <f t="shared" si="8"/>
        <v>治安が悪い</v>
      </c>
      <c r="M21" s="61" t="str">
        <f t="shared" si="8"/>
        <v>災害が多い</v>
      </c>
      <c r="N21" s="61" t="str">
        <f t="shared" si="8"/>
        <v>その他</v>
      </c>
      <c r="O21" s="61" t="str">
        <f t="shared" si="8"/>
        <v>特にない</v>
      </c>
      <c r="P21" s="63"/>
      <c r="Q21" s="221" t="s">
        <v>155</v>
      </c>
      <c r="R21" s="202" t="s">
        <v>242</v>
      </c>
    </row>
    <row r="22" spans="1:19" x14ac:dyDescent="0.2">
      <c r="A22" s="269" t="str">
        <f>A13</f>
        <v>全体(n = 201 )　　</v>
      </c>
      <c r="B22" s="34">
        <f>SUM(B24,B26,B28,B30,B32,B34,B36)</f>
        <v>199</v>
      </c>
      <c r="C22" s="28">
        <f>SUM(C24,C26,C28,C30,C32,C34,C36)</f>
        <v>8</v>
      </c>
      <c r="D22" s="29">
        <f t="shared" ref="D22:O22" si="9">SUM(D24,D26,D28,D30,D32,D34,D36)</f>
        <v>21</v>
      </c>
      <c r="E22" s="29">
        <f t="shared" si="9"/>
        <v>34</v>
      </c>
      <c r="F22" s="29">
        <f t="shared" si="9"/>
        <v>124</v>
      </c>
      <c r="G22" s="29">
        <f t="shared" si="9"/>
        <v>161</v>
      </c>
      <c r="H22" s="29">
        <f t="shared" si="9"/>
        <v>71</v>
      </c>
      <c r="I22" s="29">
        <f t="shared" si="9"/>
        <v>51</v>
      </c>
      <c r="J22" s="29">
        <f t="shared" si="9"/>
        <v>65</v>
      </c>
      <c r="K22" s="29">
        <f t="shared" si="9"/>
        <v>13</v>
      </c>
      <c r="L22" s="29">
        <f t="shared" si="9"/>
        <v>4</v>
      </c>
      <c r="M22" s="29">
        <f t="shared" si="9"/>
        <v>10</v>
      </c>
      <c r="N22" s="29">
        <f t="shared" si="9"/>
        <v>34</v>
      </c>
      <c r="O22" s="29">
        <f t="shared" si="9"/>
        <v>2</v>
      </c>
      <c r="P22" s="30"/>
      <c r="Q22" s="104">
        <f>SUM($C22:P22)</f>
        <v>598</v>
      </c>
      <c r="R22" s="166">
        <f>B22</f>
        <v>199</v>
      </c>
    </row>
    <row r="23" spans="1:19" x14ac:dyDescent="0.2">
      <c r="A23" s="270"/>
      <c r="B23" s="35">
        <v>100</v>
      </c>
      <c r="C23" s="20">
        <f t="shared" ref="C23:O23" si="10">C22/$B22*100</f>
        <v>4.0201005025125625</v>
      </c>
      <c r="D23" s="207">
        <f t="shared" si="10"/>
        <v>10.552763819095476</v>
      </c>
      <c r="E23" s="207">
        <f t="shared" si="10"/>
        <v>17.08542713567839</v>
      </c>
      <c r="F23" s="207">
        <f t="shared" si="10"/>
        <v>62.311557788944725</v>
      </c>
      <c r="G23" s="207">
        <f t="shared" si="10"/>
        <v>80.904522613065325</v>
      </c>
      <c r="H23" s="207">
        <f t="shared" si="10"/>
        <v>35.678391959798994</v>
      </c>
      <c r="I23" s="207">
        <f t="shared" si="10"/>
        <v>25.628140703517587</v>
      </c>
      <c r="J23" s="207">
        <f t="shared" si="10"/>
        <v>32.663316582914575</v>
      </c>
      <c r="K23" s="207">
        <f t="shared" si="10"/>
        <v>6.5326633165829149</v>
      </c>
      <c r="L23" s="207">
        <f t="shared" si="10"/>
        <v>2.0100502512562812</v>
      </c>
      <c r="M23" s="207">
        <f t="shared" si="10"/>
        <v>5.025125628140704</v>
      </c>
      <c r="N23" s="207">
        <f t="shared" si="10"/>
        <v>17.08542713567839</v>
      </c>
      <c r="O23" s="207">
        <f t="shared" si="10"/>
        <v>1.0050251256281406</v>
      </c>
      <c r="P23" s="208"/>
      <c r="Q23" s="195"/>
    </row>
    <row r="24" spans="1:19" ht="13.5" customHeight="1" x14ac:dyDescent="0.2">
      <c r="A24" s="297" t="str">
        <f>"18～19歳(n = "&amp;B24&amp;" )　　"</f>
        <v>18～19歳(n = 3 )　　</v>
      </c>
      <c r="B24" s="34">
        <v>3</v>
      </c>
      <c r="C24" s="31">
        <v>0</v>
      </c>
      <c r="D24" s="32">
        <v>0</v>
      </c>
      <c r="E24" s="32">
        <v>1</v>
      </c>
      <c r="F24" s="32">
        <v>2</v>
      </c>
      <c r="G24" s="32">
        <v>2</v>
      </c>
      <c r="H24" s="32">
        <v>3</v>
      </c>
      <c r="I24" s="32">
        <v>1</v>
      </c>
      <c r="J24" s="32">
        <v>1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3"/>
      <c r="Q24" s="104">
        <f>SUM($C24:P24)</f>
        <v>10</v>
      </c>
      <c r="R24" s="166">
        <f>B24</f>
        <v>3</v>
      </c>
      <c r="S24" t="str">
        <f>" 18～19歳（N = "&amp;Q24&amp;" : n = "&amp;R24&amp;"）"</f>
        <v xml:space="preserve"> 18～19歳（N = 10 : n = 3）</v>
      </c>
    </row>
    <row r="25" spans="1:19" x14ac:dyDescent="0.2">
      <c r="A25" s="298"/>
      <c r="B25" s="20">
        <f>B24/$B$22*100</f>
        <v>1.5075376884422109</v>
      </c>
      <c r="C25" s="20">
        <f t="shared" ref="C25:O25" si="11">C24/$B24*100</f>
        <v>0</v>
      </c>
      <c r="D25" s="207">
        <f t="shared" si="11"/>
        <v>0</v>
      </c>
      <c r="E25" s="207">
        <f t="shared" si="11"/>
        <v>33.333333333333329</v>
      </c>
      <c r="F25" s="207">
        <f t="shared" si="11"/>
        <v>66.666666666666657</v>
      </c>
      <c r="G25" s="207">
        <f t="shared" si="11"/>
        <v>66.666666666666657</v>
      </c>
      <c r="H25" s="207">
        <f t="shared" si="11"/>
        <v>100</v>
      </c>
      <c r="I25" s="207">
        <f t="shared" si="11"/>
        <v>33.333333333333329</v>
      </c>
      <c r="J25" s="207">
        <f t="shared" si="11"/>
        <v>33.333333333333329</v>
      </c>
      <c r="K25" s="207">
        <f t="shared" si="11"/>
        <v>0</v>
      </c>
      <c r="L25" s="207">
        <f t="shared" si="11"/>
        <v>0</v>
      </c>
      <c r="M25" s="207">
        <f t="shared" si="11"/>
        <v>0</v>
      </c>
      <c r="N25" s="207">
        <f t="shared" si="11"/>
        <v>0</v>
      </c>
      <c r="O25" s="207">
        <f t="shared" si="11"/>
        <v>0</v>
      </c>
      <c r="P25" s="208"/>
      <c r="Q25" s="195"/>
    </row>
    <row r="26" spans="1:19" ht="13.5" customHeight="1" x14ac:dyDescent="0.2">
      <c r="A26" s="273" t="str">
        <f>"20～29歳(n = "&amp;B26&amp;" )　　"</f>
        <v>20～29歳(n = 17 )　　</v>
      </c>
      <c r="B26" s="34">
        <v>17</v>
      </c>
      <c r="C26" s="31">
        <v>0</v>
      </c>
      <c r="D26" s="32">
        <v>3</v>
      </c>
      <c r="E26" s="32">
        <v>3</v>
      </c>
      <c r="F26" s="32">
        <v>9</v>
      </c>
      <c r="G26" s="32">
        <v>15</v>
      </c>
      <c r="H26" s="32">
        <v>9</v>
      </c>
      <c r="I26" s="32">
        <v>5</v>
      </c>
      <c r="J26" s="32">
        <v>5</v>
      </c>
      <c r="K26" s="32">
        <v>1</v>
      </c>
      <c r="L26" s="32">
        <v>0</v>
      </c>
      <c r="M26" s="32">
        <v>0</v>
      </c>
      <c r="N26" s="32">
        <v>3</v>
      </c>
      <c r="O26" s="32">
        <v>0</v>
      </c>
      <c r="P26" s="30"/>
      <c r="Q26" s="104">
        <f>SUM($C26:P26)</f>
        <v>53</v>
      </c>
      <c r="R26" s="166">
        <f>B26</f>
        <v>17</v>
      </c>
      <c r="S26" t="str">
        <f>" 20～29歳（N = "&amp;Q26&amp;" : n = "&amp;R26&amp;"）"</f>
        <v xml:space="preserve"> 20～29歳（N = 53 : n = 17）</v>
      </c>
    </row>
    <row r="27" spans="1:19" x14ac:dyDescent="0.2">
      <c r="A27" s="274"/>
      <c r="B27" s="20">
        <f>B26/$B$22*100</f>
        <v>8.5427135678391952</v>
      </c>
      <c r="C27" s="20">
        <f t="shared" ref="C27:O27" si="12">C26/$B26*100</f>
        <v>0</v>
      </c>
      <c r="D27" s="207">
        <f t="shared" si="12"/>
        <v>17.647058823529413</v>
      </c>
      <c r="E27" s="207">
        <f t="shared" si="12"/>
        <v>17.647058823529413</v>
      </c>
      <c r="F27" s="207">
        <f t="shared" si="12"/>
        <v>52.941176470588239</v>
      </c>
      <c r="G27" s="207">
        <f t="shared" si="12"/>
        <v>88.235294117647058</v>
      </c>
      <c r="H27" s="207">
        <f t="shared" si="12"/>
        <v>52.941176470588239</v>
      </c>
      <c r="I27" s="207">
        <f t="shared" si="12"/>
        <v>29.411764705882355</v>
      </c>
      <c r="J27" s="207">
        <f t="shared" si="12"/>
        <v>29.411764705882355</v>
      </c>
      <c r="K27" s="207">
        <f t="shared" si="12"/>
        <v>5.8823529411764701</v>
      </c>
      <c r="L27" s="207">
        <f t="shared" si="12"/>
        <v>0</v>
      </c>
      <c r="M27" s="207">
        <f t="shared" si="12"/>
        <v>0</v>
      </c>
      <c r="N27" s="207">
        <f t="shared" si="12"/>
        <v>17.647058823529413</v>
      </c>
      <c r="O27" s="207">
        <f t="shared" si="12"/>
        <v>0</v>
      </c>
      <c r="P27" s="208"/>
      <c r="Q27" s="195"/>
    </row>
    <row r="28" spans="1:19" ht="13.5" customHeight="1" x14ac:dyDescent="0.2">
      <c r="A28" s="273" t="str">
        <f>"30～39歳(n = "&amp;B28&amp;" )　　"</f>
        <v>30～39歳(n = 23 )　　</v>
      </c>
      <c r="B28" s="34">
        <v>23</v>
      </c>
      <c r="C28" s="31">
        <v>1</v>
      </c>
      <c r="D28" s="32">
        <v>0</v>
      </c>
      <c r="E28" s="32">
        <v>2</v>
      </c>
      <c r="F28" s="32">
        <v>12</v>
      </c>
      <c r="G28" s="32">
        <v>19</v>
      </c>
      <c r="H28" s="32">
        <v>11</v>
      </c>
      <c r="I28" s="32">
        <v>7</v>
      </c>
      <c r="J28" s="32">
        <v>7</v>
      </c>
      <c r="K28" s="32">
        <v>1</v>
      </c>
      <c r="L28" s="32">
        <v>0</v>
      </c>
      <c r="M28" s="32">
        <v>0</v>
      </c>
      <c r="N28" s="32">
        <v>3</v>
      </c>
      <c r="O28" s="32">
        <v>0</v>
      </c>
      <c r="P28" s="30"/>
      <c r="Q28" s="104">
        <f>SUM($C28:P28)</f>
        <v>63</v>
      </c>
      <c r="R28" s="166">
        <f>B28</f>
        <v>23</v>
      </c>
      <c r="S28" t="str">
        <f>" 30～39歳（N = "&amp;Q28&amp;" : n = "&amp;R28&amp;"）"</f>
        <v xml:space="preserve"> 30～39歳（N = 63 : n = 23）</v>
      </c>
    </row>
    <row r="29" spans="1:19" x14ac:dyDescent="0.2">
      <c r="A29" s="274"/>
      <c r="B29" s="20">
        <f>B28/$B$22*100</f>
        <v>11.557788944723619</v>
      </c>
      <c r="C29" s="20">
        <f t="shared" ref="C29:O29" si="13">C28/$B28*100</f>
        <v>4.3478260869565215</v>
      </c>
      <c r="D29" s="207">
        <f t="shared" si="13"/>
        <v>0</v>
      </c>
      <c r="E29" s="207">
        <f t="shared" si="13"/>
        <v>8.695652173913043</v>
      </c>
      <c r="F29" s="207">
        <f t="shared" si="13"/>
        <v>52.173913043478258</v>
      </c>
      <c r="G29" s="207">
        <f t="shared" si="13"/>
        <v>82.608695652173907</v>
      </c>
      <c r="H29" s="207">
        <f t="shared" si="13"/>
        <v>47.826086956521742</v>
      </c>
      <c r="I29" s="207">
        <f t="shared" si="13"/>
        <v>30.434782608695656</v>
      </c>
      <c r="J29" s="207">
        <f t="shared" si="13"/>
        <v>30.434782608695656</v>
      </c>
      <c r="K29" s="207">
        <f t="shared" si="13"/>
        <v>4.3478260869565215</v>
      </c>
      <c r="L29" s="207">
        <f t="shared" si="13"/>
        <v>0</v>
      </c>
      <c r="M29" s="207">
        <f t="shared" si="13"/>
        <v>0</v>
      </c>
      <c r="N29" s="207">
        <f t="shared" si="13"/>
        <v>13.043478260869565</v>
      </c>
      <c r="O29" s="207">
        <f t="shared" si="13"/>
        <v>0</v>
      </c>
      <c r="P29" s="208"/>
      <c r="Q29" s="195"/>
    </row>
    <row r="30" spans="1:19" ht="13.5" customHeight="1" x14ac:dyDescent="0.2">
      <c r="A30" s="273" t="str">
        <f>"40～49歳(n = "&amp;B30&amp;" )　　"</f>
        <v>40～49歳(n = 39 )　　</v>
      </c>
      <c r="B30" s="34">
        <v>39</v>
      </c>
      <c r="C30" s="31">
        <v>3</v>
      </c>
      <c r="D30" s="32">
        <v>4</v>
      </c>
      <c r="E30" s="32">
        <v>8</v>
      </c>
      <c r="F30" s="32">
        <v>23</v>
      </c>
      <c r="G30" s="32">
        <v>29</v>
      </c>
      <c r="H30" s="32">
        <v>12</v>
      </c>
      <c r="I30" s="32">
        <v>14</v>
      </c>
      <c r="J30" s="32">
        <v>13</v>
      </c>
      <c r="K30" s="32">
        <v>1</v>
      </c>
      <c r="L30" s="32">
        <v>1</v>
      </c>
      <c r="M30" s="32">
        <v>3</v>
      </c>
      <c r="N30" s="32">
        <v>6</v>
      </c>
      <c r="O30" s="32">
        <v>0</v>
      </c>
      <c r="P30" s="30"/>
      <c r="Q30" s="104">
        <f>SUM($C30:P30)</f>
        <v>117</v>
      </c>
      <c r="R30" s="166">
        <f>B30</f>
        <v>39</v>
      </c>
      <c r="S30" t="str">
        <f>" 40～49歳（N = "&amp;Q30&amp;" : n = "&amp;R30&amp;"）"</f>
        <v xml:space="preserve"> 40～49歳（N = 117 : n = 39）</v>
      </c>
    </row>
    <row r="31" spans="1:19" x14ac:dyDescent="0.2">
      <c r="A31" s="274"/>
      <c r="B31" s="20">
        <f>B30/$B$22*100</f>
        <v>19.597989949748744</v>
      </c>
      <c r="C31" s="20">
        <f t="shared" ref="C31:O31" si="14">C30/$B30*100</f>
        <v>7.6923076923076925</v>
      </c>
      <c r="D31" s="207">
        <f t="shared" si="14"/>
        <v>10.256410256410255</v>
      </c>
      <c r="E31" s="207">
        <f t="shared" si="14"/>
        <v>20.512820512820511</v>
      </c>
      <c r="F31" s="207">
        <f t="shared" si="14"/>
        <v>58.974358974358978</v>
      </c>
      <c r="G31" s="207">
        <f t="shared" si="14"/>
        <v>74.358974358974365</v>
      </c>
      <c r="H31" s="207">
        <f t="shared" si="14"/>
        <v>30.76923076923077</v>
      </c>
      <c r="I31" s="207">
        <f t="shared" si="14"/>
        <v>35.897435897435898</v>
      </c>
      <c r="J31" s="207">
        <f t="shared" si="14"/>
        <v>33.333333333333329</v>
      </c>
      <c r="K31" s="207">
        <f t="shared" si="14"/>
        <v>2.5641025641025639</v>
      </c>
      <c r="L31" s="207">
        <f t="shared" si="14"/>
        <v>2.5641025641025639</v>
      </c>
      <c r="M31" s="207">
        <f t="shared" si="14"/>
        <v>7.6923076923076925</v>
      </c>
      <c r="N31" s="207">
        <f t="shared" si="14"/>
        <v>15.384615384615385</v>
      </c>
      <c r="O31" s="207">
        <f t="shared" si="14"/>
        <v>0</v>
      </c>
      <c r="P31" s="208"/>
      <c r="Q31" s="195"/>
    </row>
    <row r="32" spans="1:19" ht="13.5" customHeight="1" x14ac:dyDescent="0.2">
      <c r="A32" s="273" t="str">
        <f>"50～59歳(n = "&amp;B32&amp;" )　　"</f>
        <v>50～59歳(n = 42 )　　</v>
      </c>
      <c r="B32" s="34">
        <v>42</v>
      </c>
      <c r="C32" s="31">
        <v>3</v>
      </c>
      <c r="D32" s="32">
        <v>7</v>
      </c>
      <c r="E32" s="32">
        <v>8</v>
      </c>
      <c r="F32" s="32">
        <v>23</v>
      </c>
      <c r="G32" s="32">
        <v>36</v>
      </c>
      <c r="H32" s="32">
        <v>16</v>
      </c>
      <c r="I32" s="32">
        <v>9</v>
      </c>
      <c r="J32" s="32">
        <v>14</v>
      </c>
      <c r="K32" s="32">
        <v>4</v>
      </c>
      <c r="L32" s="32">
        <v>1</v>
      </c>
      <c r="M32" s="32">
        <v>4</v>
      </c>
      <c r="N32" s="32">
        <v>7</v>
      </c>
      <c r="O32" s="32">
        <v>2</v>
      </c>
      <c r="P32" s="30"/>
      <c r="Q32" s="104">
        <f>SUM($C32:P32)</f>
        <v>134</v>
      </c>
      <c r="R32" s="166">
        <f>B32</f>
        <v>42</v>
      </c>
      <c r="S32" t="str">
        <f>" 50～59歳（N = "&amp;Q32&amp;" : n = "&amp;R32&amp;"）"</f>
        <v xml:space="preserve"> 50～59歳（N = 134 : n = 42）</v>
      </c>
    </row>
    <row r="33" spans="1:31" x14ac:dyDescent="0.2">
      <c r="A33" s="274"/>
      <c r="B33" s="20">
        <f>B32/$B$22*100</f>
        <v>21.105527638190953</v>
      </c>
      <c r="C33" s="20">
        <f t="shared" ref="C33:O33" si="15">C32/$B32*100</f>
        <v>7.1428571428571423</v>
      </c>
      <c r="D33" s="207">
        <f t="shared" si="15"/>
        <v>16.666666666666664</v>
      </c>
      <c r="E33" s="207">
        <f t="shared" si="15"/>
        <v>19.047619047619047</v>
      </c>
      <c r="F33" s="207">
        <f t="shared" si="15"/>
        <v>54.761904761904766</v>
      </c>
      <c r="G33" s="207">
        <f t="shared" si="15"/>
        <v>85.714285714285708</v>
      </c>
      <c r="H33" s="207">
        <f t="shared" si="15"/>
        <v>38.095238095238095</v>
      </c>
      <c r="I33" s="207">
        <f t="shared" si="15"/>
        <v>21.428571428571427</v>
      </c>
      <c r="J33" s="207">
        <f t="shared" si="15"/>
        <v>33.333333333333329</v>
      </c>
      <c r="K33" s="207">
        <f t="shared" si="15"/>
        <v>9.5238095238095237</v>
      </c>
      <c r="L33" s="207">
        <f t="shared" si="15"/>
        <v>2.3809523809523809</v>
      </c>
      <c r="M33" s="207">
        <f t="shared" si="15"/>
        <v>9.5238095238095237</v>
      </c>
      <c r="N33" s="207">
        <f t="shared" si="15"/>
        <v>16.666666666666664</v>
      </c>
      <c r="O33" s="207">
        <f t="shared" si="15"/>
        <v>4.7619047619047619</v>
      </c>
      <c r="P33" s="208"/>
      <c r="Q33" s="195"/>
    </row>
    <row r="34" spans="1:31" ht="13.5" customHeight="1" x14ac:dyDescent="0.2">
      <c r="A34" s="273" t="str">
        <f>"60～69歳(n = "&amp;B34&amp;" )　　"</f>
        <v>60～69歳(n = 45 )　　</v>
      </c>
      <c r="B34" s="34">
        <v>45</v>
      </c>
      <c r="C34" s="31">
        <v>1</v>
      </c>
      <c r="D34" s="32">
        <v>4</v>
      </c>
      <c r="E34" s="32">
        <v>6</v>
      </c>
      <c r="F34" s="32">
        <v>33</v>
      </c>
      <c r="G34" s="32">
        <v>37</v>
      </c>
      <c r="H34" s="32">
        <v>13</v>
      </c>
      <c r="I34" s="32">
        <v>9</v>
      </c>
      <c r="J34" s="32">
        <v>15</v>
      </c>
      <c r="K34" s="32">
        <v>4</v>
      </c>
      <c r="L34" s="32">
        <v>1</v>
      </c>
      <c r="M34" s="32">
        <v>2</v>
      </c>
      <c r="N34" s="32">
        <v>9</v>
      </c>
      <c r="O34" s="32">
        <v>0</v>
      </c>
      <c r="P34" s="30"/>
      <c r="Q34" s="104">
        <f>SUM($C34:P34)</f>
        <v>134</v>
      </c>
      <c r="R34" s="166">
        <f>B34</f>
        <v>45</v>
      </c>
      <c r="S34" t="str">
        <f>" 60～69歳（N = "&amp;Q34&amp;" : n = "&amp;R34&amp;"）"</f>
        <v xml:space="preserve"> 60～69歳（N = 134 : n = 45）</v>
      </c>
    </row>
    <row r="35" spans="1:31" x14ac:dyDescent="0.2">
      <c r="A35" s="274"/>
      <c r="B35" s="20">
        <f>B34/$B$22*100</f>
        <v>22.613065326633166</v>
      </c>
      <c r="C35" s="20">
        <f t="shared" ref="C35:O35" si="16">C34/$B34*100</f>
        <v>2.2222222222222223</v>
      </c>
      <c r="D35" s="207">
        <f t="shared" si="16"/>
        <v>8.8888888888888893</v>
      </c>
      <c r="E35" s="207">
        <f t="shared" si="16"/>
        <v>13.333333333333334</v>
      </c>
      <c r="F35" s="207">
        <f t="shared" si="16"/>
        <v>73.333333333333329</v>
      </c>
      <c r="G35" s="207">
        <f t="shared" si="16"/>
        <v>82.222222222222214</v>
      </c>
      <c r="H35" s="207">
        <f t="shared" si="16"/>
        <v>28.888888888888886</v>
      </c>
      <c r="I35" s="207">
        <f t="shared" si="16"/>
        <v>20</v>
      </c>
      <c r="J35" s="207">
        <f t="shared" si="16"/>
        <v>33.333333333333329</v>
      </c>
      <c r="K35" s="207">
        <f t="shared" si="16"/>
        <v>8.8888888888888893</v>
      </c>
      <c r="L35" s="207">
        <f t="shared" si="16"/>
        <v>2.2222222222222223</v>
      </c>
      <c r="M35" s="207">
        <f t="shared" si="16"/>
        <v>4.4444444444444446</v>
      </c>
      <c r="N35" s="207">
        <f t="shared" si="16"/>
        <v>20</v>
      </c>
      <c r="O35" s="207">
        <f t="shared" si="16"/>
        <v>0</v>
      </c>
      <c r="P35" s="208"/>
      <c r="Q35" s="195"/>
    </row>
    <row r="36" spans="1:31" ht="13.5" customHeight="1" x14ac:dyDescent="0.2">
      <c r="A36" s="273" t="str">
        <f>"70歳以上(n = "&amp;B36&amp;" )　　"</f>
        <v>70歳以上(n = 30 )　　</v>
      </c>
      <c r="B36" s="34">
        <v>30</v>
      </c>
      <c r="C36" s="31">
        <v>0</v>
      </c>
      <c r="D36" s="32">
        <v>3</v>
      </c>
      <c r="E36" s="32">
        <v>6</v>
      </c>
      <c r="F36" s="32">
        <v>22</v>
      </c>
      <c r="G36" s="32">
        <v>23</v>
      </c>
      <c r="H36" s="32">
        <v>7</v>
      </c>
      <c r="I36" s="32">
        <v>6</v>
      </c>
      <c r="J36" s="32">
        <v>10</v>
      </c>
      <c r="K36" s="32">
        <v>2</v>
      </c>
      <c r="L36" s="32">
        <v>1</v>
      </c>
      <c r="M36" s="32">
        <v>1</v>
      </c>
      <c r="N36" s="32">
        <v>6</v>
      </c>
      <c r="O36" s="32">
        <v>0</v>
      </c>
      <c r="P36" s="30"/>
      <c r="Q36" s="104">
        <f>SUM($C36:P36)</f>
        <v>87</v>
      </c>
      <c r="R36" s="166">
        <f>B36</f>
        <v>30</v>
      </c>
      <c r="S36" t="str">
        <f>" 70歳以上（N = "&amp;Q36&amp;" : n = "&amp;R36&amp;"）"</f>
        <v xml:space="preserve"> 70歳以上（N = 87 : n = 30）</v>
      </c>
    </row>
    <row r="37" spans="1:31" x14ac:dyDescent="0.2">
      <c r="A37" s="274"/>
      <c r="B37" s="20">
        <f>B36/$B$22*100</f>
        <v>15.075376884422109</v>
      </c>
      <c r="C37" s="20">
        <f t="shared" ref="C37:O37" si="17">C36/$B36*100</f>
        <v>0</v>
      </c>
      <c r="D37" s="207">
        <f t="shared" si="17"/>
        <v>10</v>
      </c>
      <c r="E37" s="207">
        <f t="shared" si="17"/>
        <v>20</v>
      </c>
      <c r="F37" s="207">
        <f t="shared" si="17"/>
        <v>73.333333333333329</v>
      </c>
      <c r="G37" s="207">
        <f t="shared" si="17"/>
        <v>76.666666666666671</v>
      </c>
      <c r="H37" s="207">
        <f t="shared" si="17"/>
        <v>23.333333333333332</v>
      </c>
      <c r="I37" s="207">
        <f t="shared" si="17"/>
        <v>20</v>
      </c>
      <c r="J37" s="207">
        <f t="shared" si="17"/>
        <v>33.333333333333329</v>
      </c>
      <c r="K37" s="207">
        <f t="shared" si="17"/>
        <v>6.666666666666667</v>
      </c>
      <c r="L37" s="207">
        <f t="shared" si="17"/>
        <v>3.3333333333333335</v>
      </c>
      <c r="M37" s="207">
        <f t="shared" si="17"/>
        <v>3.3333333333333335</v>
      </c>
      <c r="N37" s="207">
        <f t="shared" si="17"/>
        <v>20</v>
      </c>
      <c r="O37" s="207">
        <f t="shared" si="17"/>
        <v>0</v>
      </c>
      <c r="P37" s="208"/>
      <c r="Q37" s="195"/>
    </row>
    <row r="38" spans="1:31" s="186" customFormat="1" x14ac:dyDescent="0.2">
      <c r="A38" s="184"/>
      <c r="B38" s="182"/>
      <c r="C38" s="172">
        <f>_xlfn.RANK.EQ(C23,$C$23:$P$23,0)</f>
        <v>11</v>
      </c>
      <c r="D38" s="172">
        <f t="shared" ref="D38:P38" si="18">_xlfn.RANK.EQ(D23,$C$23:$P$23,0)</f>
        <v>8</v>
      </c>
      <c r="E38" s="172">
        <f t="shared" si="18"/>
        <v>6</v>
      </c>
      <c r="F38" s="172">
        <f t="shared" si="18"/>
        <v>2</v>
      </c>
      <c r="G38" s="172">
        <f t="shared" si="18"/>
        <v>1</v>
      </c>
      <c r="H38" s="172">
        <f t="shared" si="18"/>
        <v>3</v>
      </c>
      <c r="I38" s="172">
        <f t="shared" si="18"/>
        <v>5</v>
      </c>
      <c r="J38" s="172">
        <f t="shared" si="18"/>
        <v>4</v>
      </c>
      <c r="K38" s="172">
        <f t="shared" si="18"/>
        <v>9</v>
      </c>
      <c r="L38" s="172">
        <f t="shared" si="18"/>
        <v>12</v>
      </c>
      <c r="M38" s="172">
        <f t="shared" si="18"/>
        <v>10</v>
      </c>
      <c r="N38" s="172">
        <f t="shared" si="18"/>
        <v>6</v>
      </c>
      <c r="O38" s="172">
        <f t="shared" si="18"/>
        <v>13</v>
      </c>
      <c r="P38" s="172" t="e">
        <f t="shared" si="18"/>
        <v>#N/A</v>
      </c>
    </row>
    <row r="39" spans="1:31" x14ac:dyDescent="0.2">
      <c r="A39" s="26" t="s">
        <v>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31" ht="12.75" customHeight="1" x14ac:dyDescent="0.2">
      <c r="A40" s="6" t="s">
        <v>4</v>
      </c>
      <c r="B40" s="4"/>
      <c r="C40" s="27">
        <v>1</v>
      </c>
      <c r="D40" s="27">
        <v>2</v>
      </c>
      <c r="E40" s="27">
        <v>3</v>
      </c>
      <c r="F40" s="27">
        <v>4</v>
      </c>
      <c r="G40" s="27">
        <v>5</v>
      </c>
      <c r="H40" s="27">
        <v>6</v>
      </c>
      <c r="I40" s="27">
        <v>7</v>
      </c>
      <c r="J40" s="27">
        <v>8</v>
      </c>
      <c r="K40" s="27">
        <v>9</v>
      </c>
      <c r="L40" s="27">
        <v>10</v>
      </c>
      <c r="M40" s="27">
        <v>11</v>
      </c>
      <c r="N40" s="27">
        <v>12</v>
      </c>
      <c r="O40" s="27">
        <v>13</v>
      </c>
      <c r="P40" s="27">
        <v>14</v>
      </c>
      <c r="R40" s="45"/>
      <c r="S40" s="27">
        <v>1</v>
      </c>
      <c r="T40" s="27">
        <v>2</v>
      </c>
      <c r="U40" s="27">
        <v>3</v>
      </c>
      <c r="V40" s="27">
        <v>4</v>
      </c>
      <c r="W40" s="27">
        <v>5</v>
      </c>
      <c r="X40" s="27">
        <v>6</v>
      </c>
      <c r="Y40" s="27">
        <v>7</v>
      </c>
      <c r="Z40" s="27">
        <v>8</v>
      </c>
      <c r="AA40" s="27">
        <v>9</v>
      </c>
      <c r="AB40" s="27">
        <v>10</v>
      </c>
      <c r="AC40" s="27">
        <v>11</v>
      </c>
      <c r="AD40" s="27">
        <v>12</v>
      </c>
      <c r="AE40" s="27">
        <v>13</v>
      </c>
    </row>
    <row r="41" spans="1:31" ht="67.5" customHeight="1" x14ac:dyDescent="0.2">
      <c r="A41" s="12" t="str">
        <f>A21</f>
        <v>【年代別】</v>
      </c>
      <c r="B41" s="59" t="str">
        <f>B12</f>
        <v>調査数</v>
      </c>
      <c r="C41" s="60" t="s">
        <v>234</v>
      </c>
      <c r="D41" s="61" t="s">
        <v>232</v>
      </c>
      <c r="E41" s="61" t="s">
        <v>238</v>
      </c>
      <c r="F41" s="61" t="s">
        <v>235</v>
      </c>
      <c r="G41" s="61" t="s">
        <v>240</v>
      </c>
      <c r="H41" s="61" t="s">
        <v>237</v>
      </c>
      <c r="I41" s="61" t="s">
        <v>236</v>
      </c>
      <c r="J41" s="61" t="s">
        <v>241</v>
      </c>
      <c r="K41" s="61" t="s">
        <v>233</v>
      </c>
      <c r="L41" s="61" t="s">
        <v>231</v>
      </c>
      <c r="M41" s="61" t="s">
        <v>239</v>
      </c>
      <c r="N41" s="61" t="s">
        <v>57</v>
      </c>
      <c r="O41" s="61" t="s">
        <v>75</v>
      </c>
      <c r="P41" s="63"/>
      <c r="Q41" s="44" t="s">
        <v>32</v>
      </c>
      <c r="R41" s="12" t="str">
        <f>A41</f>
        <v>【年代別】</v>
      </c>
      <c r="S41" s="60" t="str">
        <f t="shared" ref="S41:AE41" si="19">C41</f>
        <v>交通の便がよくない</v>
      </c>
      <c r="T41" s="61" t="str">
        <f t="shared" si="19"/>
        <v>食事、買い物が不便である</v>
      </c>
      <c r="U41" s="61" t="str">
        <f t="shared" si="19"/>
        <v>働く場が少ない</v>
      </c>
      <c r="V41" s="61" t="str">
        <f t="shared" si="19"/>
        <v>医療、福祉サービスが充実していない</v>
      </c>
      <c r="W41" s="61" t="str">
        <f t="shared" si="19"/>
        <v>教育、文化、スポーツの施設が充実していない</v>
      </c>
      <c r="X41" s="61" t="str">
        <f t="shared" si="19"/>
        <v>　　　ウォーキングなど気軽に
体を動かせる場が近くにない</v>
      </c>
      <c r="Y41" s="62" t="str">
        <f t="shared" si="19"/>
        <v>町並みなどの景観がよくない</v>
      </c>
      <c r="Z41" s="156" t="str">
        <f t="shared" si="19"/>
        <v>住民相互の交流がない</v>
      </c>
      <c r="AA41" s="61" t="str">
        <f t="shared" si="19"/>
        <v>災害が多い</v>
      </c>
      <c r="AB41" s="105" t="str">
        <f t="shared" si="19"/>
        <v>自然が豊かでない</v>
      </c>
      <c r="AC41" s="61" t="str">
        <f t="shared" si="19"/>
        <v>治安が悪い</v>
      </c>
      <c r="AD41" s="62" t="str">
        <f t="shared" si="19"/>
        <v>その他</v>
      </c>
      <c r="AE41" s="63" t="str">
        <f t="shared" si="19"/>
        <v>特にない</v>
      </c>
    </row>
    <row r="42" spans="1:31" ht="12.75" customHeight="1" x14ac:dyDescent="0.2">
      <c r="A42" s="269" t="str">
        <f>A22</f>
        <v>全体(n = 201 )　　</v>
      </c>
      <c r="B42" s="113">
        <f t="shared" ref="B42:B57" si="20">B22</f>
        <v>199</v>
      </c>
      <c r="C42" s="121">
        <v>161</v>
      </c>
      <c r="D42" s="122">
        <v>124</v>
      </c>
      <c r="E42" s="122">
        <v>71</v>
      </c>
      <c r="F42" s="122">
        <v>65</v>
      </c>
      <c r="G42" s="122">
        <v>51</v>
      </c>
      <c r="H42" s="122">
        <v>34</v>
      </c>
      <c r="I42" s="122">
        <v>21</v>
      </c>
      <c r="J42" s="122">
        <v>13</v>
      </c>
      <c r="K42" s="122">
        <v>10</v>
      </c>
      <c r="L42" s="122">
        <v>8</v>
      </c>
      <c r="M42" s="122">
        <v>4</v>
      </c>
      <c r="N42" s="122">
        <v>34</v>
      </c>
      <c r="O42" s="122">
        <v>2</v>
      </c>
      <c r="P42" s="124"/>
      <c r="Q42" s="166"/>
      <c r="R42" s="95" t="str">
        <f>A44</f>
        <v>18～19歳(n = 3 )　　</v>
      </c>
      <c r="S42" s="88">
        <f>C45</f>
        <v>66.666666666666657</v>
      </c>
      <c r="T42" s="89">
        <f t="shared" ref="T42:AE42" si="21">D45</f>
        <v>66.666666666666657</v>
      </c>
      <c r="U42" s="89">
        <f t="shared" si="21"/>
        <v>100</v>
      </c>
      <c r="V42" s="89">
        <f t="shared" si="21"/>
        <v>33.333333333333329</v>
      </c>
      <c r="W42" s="89">
        <f t="shared" si="21"/>
        <v>33.333333333333329</v>
      </c>
      <c r="X42" s="89">
        <f t="shared" si="21"/>
        <v>33.333333333333329</v>
      </c>
      <c r="Y42" s="90">
        <f t="shared" si="21"/>
        <v>0</v>
      </c>
      <c r="Z42" s="162">
        <f t="shared" si="21"/>
        <v>0</v>
      </c>
      <c r="AA42" s="89">
        <f t="shared" si="21"/>
        <v>0</v>
      </c>
      <c r="AB42" s="158">
        <f t="shared" si="21"/>
        <v>0</v>
      </c>
      <c r="AC42" s="89">
        <f t="shared" si="21"/>
        <v>0</v>
      </c>
      <c r="AD42" s="90">
        <f t="shared" si="21"/>
        <v>0</v>
      </c>
      <c r="AE42" s="91">
        <f t="shared" si="21"/>
        <v>0</v>
      </c>
    </row>
    <row r="43" spans="1:31" ht="12.75" customHeight="1" x14ac:dyDescent="0.2">
      <c r="A43" s="270"/>
      <c r="B43" s="114">
        <f t="shared" si="20"/>
        <v>100</v>
      </c>
      <c r="C43" s="125">
        <v>80.904522613065325</v>
      </c>
      <c r="D43" s="126">
        <v>62.311557788944725</v>
      </c>
      <c r="E43" s="126">
        <v>35.678391959798994</v>
      </c>
      <c r="F43" s="126">
        <v>32.663316582914575</v>
      </c>
      <c r="G43" s="126">
        <v>25.628140703517587</v>
      </c>
      <c r="H43" s="126">
        <v>17.08542713567839</v>
      </c>
      <c r="I43" s="126">
        <v>10.552763819095476</v>
      </c>
      <c r="J43" s="126">
        <v>6.5326633165829149</v>
      </c>
      <c r="K43" s="126">
        <v>5.025125628140704</v>
      </c>
      <c r="L43" s="126">
        <v>4.0201005025125625</v>
      </c>
      <c r="M43" s="126">
        <v>2.0100502512562812</v>
      </c>
      <c r="N43" s="126">
        <v>17.08542713567839</v>
      </c>
      <c r="O43" s="126">
        <v>1.0050251256281406</v>
      </c>
      <c r="P43" s="128"/>
      <c r="R43" s="95" t="str">
        <f>A46</f>
        <v>20～29歳(n = 17 )　　</v>
      </c>
      <c r="S43" s="88">
        <f>C47</f>
        <v>88.235294117647058</v>
      </c>
      <c r="T43" s="89">
        <f t="shared" ref="T43:AE43" si="22">D47</f>
        <v>52.941176470588239</v>
      </c>
      <c r="U43" s="89">
        <f t="shared" si="22"/>
        <v>52.941176470588239</v>
      </c>
      <c r="V43" s="89">
        <f t="shared" si="22"/>
        <v>29.411764705882355</v>
      </c>
      <c r="W43" s="89">
        <f t="shared" si="22"/>
        <v>29.411764705882355</v>
      </c>
      <c r="X43" s="89">
        <f t="shared" si="22"/>
        <v>17.647058823529413</v>
      </c>
      <c r="Y43" s="90">
        <f t="shared" si="22"/>
        <v>17.647058823529413</v>
      </c>
      <c r="Z43" s="162">
        <f t="shared" si="22"/>
        <v>5.8823529411764701</v>
      </c>
      <c r="AA43" s="89">
        <f t="shared" si="22"/>
        <v>0</v>
      </c>
      <c r="AB43" s="158">
        <f t="shared" si="22"/>
        <v>0</v>
      </c>
      <c r="AC43" s="89">
        <f t="shared" si="22"/>
        <v>0</v>
      </c>
      <c r="AD43" s="90">
        <f t="shared" si="22"/>
        <v>17.647058823529413</v>
      </c>
      <c r="AE43" s="91">
        <f t="shared" si="22"/>
        <v>0</v>
      </c>
    </row>
    <row r="44" spans="1:31" ht="12.75" customHeight="1" x14ac:dyDescent="0.2">
      <c r="A44" s="269" t="str">
        <f>A24</f>
        <v>18～19歳(n = 3 )　　</v>
      </c>
      <c r="B44" s="113">
        <f t="shared" si="20"/>
        <v>3</v>
      </c>
      <c r="C44" s="129">
        <v>2</v>
      </c>
      <c r="D44" s="130">
        <v>2</v>
      </c>
      <c r="E44" s="130">
        <v>3</v>
      </c>
      <c r="F44" s="130">
        <v>1</v>
      </c>
      <c r="G44" s="130">
        <v>1</v>
      </c>
      <c r="H44" s="130">
        <v>1</v>
      </c>
      <c r="I44" s="130">
        <v>0</v>
      </c>
      <c r="J44" s="130">
        <v>0</v>
      </c>
      <c r="K44" s="130">
        <v>0</v>
      </c>
      <c r="L44" s="130">
        <v>0</v>
      </c>
      <c r="M44" s="122">
        <v>0</v>
      </c>
      <c r="N44" s="130">
        <v>0</v>
      </c>
      <c r="O44" s="122">
        <v>0</v>
      </c>
      <c r="P44" s="124"/>
      <c r="R44" s="95" t="str">
        <f>A48</f>
        <v>30～39歳(n = 23 )　　</v>
      </c>
      <c r="S44" s="88">
        <f>C49</f>
        <v>82.608695652173907</v>
      </c>
      <c r="T44" s="89">
        <f t="shared" ref="T44:AE44" si="23">D49</f>
        <v>52.173913043478258</v>
      </c>
      <c r="U44" s="89">
        <f t="shared" si="23"/>
        <v>47.826086956521742</v>
      </c>
      <c r="V44" s="89">
        <f t="shared" si="23"/>
        <v>30.434782608695656</v>
      </c>
      <c r="W44" s="89">
        <f t="shared" si="23"/>
        <v>30.434782608695656</v>
      </c>
      <c r="X44" s="89">
        <f t="shared" si="23"/>
        <v>8.695652173913043</v>
      </c>
      <c r="Y44" s="90">
        <f t="shared" si="23"/>
        <v>0</v>
      </c>
      <c r="Z44" s="162">
        <f t="shared" si="23"/>
        <v>4.3478260869565215</v>
      </c>
      <c r="AA44" s="89">
        <f t="shared" si="23"/>
        <v>0</v>
      </c>
      <c r="AB44" s="158">
        <f t="shared" si="23"/>
        <v>4.3478260869565215</v>
      </c>
      <c r="AC44" s="89">
        <f t="shared" si="23"/>
        <v>0</v>
      </c>
      <c r="AD44" s="90">
        <f t="shared" si="23"/>
        <v>13.043478260869565</v>
      </c>
      <c r="AE44" s="91">
        <f t="shared" si="23"/>
        <v>0</v>
      </c>
    </row>
    <row r="45" spans="1:31" ht="12.75" customHeight="1" x14ac:dyDescent="0.2">
      <c r="A45" s="270"/>
      <c r="B45" s="114">
        <f t="shared" si="20"/>
        <v>1.5075376884422109</v>
      </c>
      <c r="C45" s="125">
        <v>66.666666666666657</v>
      </c>
      <c r="D45" s="126">
        <v>66.666666666666657</v>
      </c>
      <c r="E45" s="126">
        <v>100</v>
      </c>
      <c r="F45" s="126">
        <v>33.333333333333329</v>
      </c>
      <c r="G45" s="126">
        <v>33.333333333333329</v>
      </c>
      <c r="H45" s="126">
        <v>33.333333333333329</v>
      </c>
      <c r="I45" s="126">
        <v>0</v>
      </c>
      <c r="J45" s="126">
        <v>0</v>
      </c>
      <c r="K45" s="126">
        <v>0</v>
      </c>
      <c r="L45" s="126">
        <v>0</v>
      </c>
      <c r="M45" s="126">
        <v>0</v>
      </c>
      <c r="N45" s="126">
        <v>0</v>
      </c>
      <c r="O45" s="126">
        <v>0</v>
      </c>
      <c r="P45" s="128"/>
      <c r="R45" s="95" t="str">
        <f>A50</f>
        <v>40～49歳(n = 39 )　　</v>
      </c>
      <c r="S45" s="88">
        <f t="shared" ref="S45:AE45" si="24">C51</f>
        <v>74.358974358974365</v>
      </c>
      <c r="T45" s="89">
        <f t="shared" si="24"/>
        <v>58.974358974358978</v>
      </c>
      <c r="U45" s="89">
        <f t="shared" si="24"/>
        <v>30.76923076923077</v>
      </c>
      <c r="V45" s="89">
        <f t="shared" si="24"/>
        <v>33.333333333333329</v>
      </c>
      <c r="W45" s="89">
        <f t="shared" si="24"/>
        <v>35.897435897435898</v>
      </c>
      <c r="X45" s="89">
        <f t="shared" si="24"/>
        <v>20.512820512820511</v>
      </c>
      <c r="Y45" s="90">
        <f t="shared" si="24"/>
        <v>10.256410256410255</v>
      </c>
      <c r="Z45" s="162">
        <f t="shared" si="24"/>
        <v>2.5641025641025639</v>
      </c>
      <c r="AA45" s="89">
        <f t="shared" si="24"/>
        <v>7.6923076923076925</v>
      </c>
      <c r="AB45" s="158">
        <f t="shared" si="24"/>
        <v>7.6923076923076925</v>
      </c>
      <c r="AC45" s="89">
        <f t="shared" si="24"/>
        <v>2.5641025641025639</v>
      </c>
      <c r="AD45" s="90">
        <f t="shared" si="24"/>
        <v>15.384615384615385</v>
      </c>
      <c r="AE45" s="91">
        <f t="shared" si="24"/>
        <v>0</v>
      </c>
    </row>
    <row r="46" spans="1:31" ht="13.5" customHeight="1" x14ac:dyDescent="0.2">
      <c r="A46" s="269" t="str">
        <f>A26</f>
        <v>20～29歳(n = 17 )　　</v>
      </c>
      <c r="B46" s="113">
        <f t="shared" si="20"/>
        <v>17</v>
      </c>
      <c r="C46" s="129">
        <v>15</v>
      </c>
      <c r="D46" s="130">
        <v>9</v>
      </c>
      <c r="E46" s="130">
        <v>9</v>
      </c>
      <c r="F46" s="130">
        <v>5</v>
      </c>
      <c r="G46" s="130">
        <v>5</v>
      </c>
      <c r="H46" s="130">
        <v>3</v>
      </c>
      <c r="I46" s="130">
        <v>3</v>
      </c>
      <c r="J46" s="130">
        <v>1</v>
      </c>
      <c r="K46" s="130">
        <v>0</v>
      </c>
      <c r="L46" s="130">
        <v>0</v>
      </c>
      <c r="M46" s="122">
        <v>0</v>
      </c>
      <c r="N46" s="130">
        <v>3</v>
      </c>
      <c r="O46" s="122">
        <v>0</v>
      </c>
      <c r="P46" s="124"/>
      <c r="R46" s="95" t="str">
        <f>A52</f>
        <v>50～59歳(n = 42 )　　</v>
      </c>
      <c r="S46" s="88">
        <f t="shared" ref="S46:AE46" si="25">C53</f>
        <v>85.714285714285708</v>
      </c>
      <c r="T46" s="89">
        <f t="shared" si="25"/>
        <v>54.761904761904766</v>
      </c>
      <c r="U46" s="89">
        <f t="shared" si="25"/>
        <v>38.095238095238095</v>
      </c>
      <c r="V46" s="89">
        <f t="shared" si="25"/>
        <v>33.333333333333329</v>
      </c>
      <c r="W46" s="89">
        <f t="shared" si="25"/>
        <v>21.428571428571427</v>
      </c>
      <c r="X46" s="89">
        <f t="shared" si="25"/>
        <v>19.047619047619047</v>
      </c>
      <c r="Y46" s="90">
        <f t="shared" si="25"/>
        <v>16.666666666666664</v>
      </c>
      <c r="Z46" s="162">
        <f t="shared" si="25"/>
        <v>9.5238095238095237</v>
      </c>
      <c r="AA46" s="89">
        <f t="shared" si="25"/>
        <v>9.5238095238095237</v>
      </c>
      <c r="AB46" s="158">
        <f t="shared" si="25"/>
        <v>7.1428571428571423</v>
      </c>
      <c r="AC46" s="89">
        <f t="shared" si="25"/>
        <v>2.3809523809523809</v>
      </c>
      <c r="AD46" s="90">
        <f t="shared" si="25"/>
        <v>16.666666666666664</v>
      </c>
      <c r="AE46" s="91">
        <f t="shared" si="25"/>
        <v>4.7619047619047619</v>
      </c>
    </row>
    <row r="47" spans="1:31" ht="13.5" customHeight="1" x14ac:dyDescent="0.2">
      <c r="A47" s="270"/>
      <c r="B47" s="114">
        <f t="shared" si="20"/>
        <v>8.5427135678391952</v>
      </c>
      <c r="C47" s="125">
        <v>88.235294117647058</v>
      </c>
      <c r="D47" s="126">
        <v>52.941176470588239</v>
      </c>
      <c r="E47" s="126">
        <v>52.941176470588239</v>
      </c>
      <c r="F47" s="126">
        <v>29.411764705882355</v>
      </c>
      <c r="G47" s="126">
        <v>29.411764705882355</v>
      </c>
      <c r="H47" s="126">
        <v>17.647058823529413</v>
      </c>
      <c r="I47" s="126">
        <v>17.647058823529413</v>
      </c>
      <c r="J47" s="126">
        <v>5.8823529411764701</v>
      </c>
      <c r="K47" s="126">
        <v>0</v>
      </c>
      <c r="L47" s="126">
        <v>0</v>
      </c>
      <c r="M47" s="126">
        <v>0</v>
      </c>
      <c r="N47" s="126">
        <v>17.647058823529413</v>
      </c>
      <c r="O47" s="126">
        <v>0</v>
      </c>
      <c r="P47" s="128"/>
      <c r="R47" s="96" t="str">
        <f>A54</f>
        <v>60～69歳(n = 45 )　　</v>
      </c>
      <c r="S47" s="97">
        <f t="shared" ref="S47:AE47" si="26">C55</f>
        <v>82.222222222222214</v>
      </c>
      <c r="T47" s="98">
        <f t="shared" si="26"/>
        <v>73.333333333333329</v>
      </c>
      <c r="U47" s="98">
        <f t="shared" si="26"/>
        <v>28.888888888888886</v>
      </c>
      <c r="V47" s="98">
        <f t="shared" si="26"/>
        <v>33.333333333333329</v>
      </c>
      <c r="W47" s="98">
        <f t="shared" si="26"/>
        <v>20</v>
      </c>
      <c r="X47" s="98">
        <f t="shared" si="26"/>
        <v>13.333333333333334</v>
      </c>
      <c r="Y47" s="110">
        <f t="shared" si="26"/>
        <v>8.8888888888888893</v>
      </c>
      <c r="Z47" s="163">
        <f t="shared" si="26"/>
        <v>8.8888888888888893</v>
      </c>
      <c r="AA47" s="98">
        <f t="shared" si="26"/>
        <v>4.4444444444444446</v>
      </c>
      <c r="AB47" s="159">
        <f t="shared" si="26"/>
        <v>2.2222222222222223</v>
      </c>
      <c r="AC47" s="98">
        <f t="shared" si="26"/>
        <v>2.2222222222222223</v>
      </c>
      <c r="AD47" s="110">
        <f t="shared" si="26"/>
        <v>20</v>
      </c>
      <c r="AE47" s="99">
        <f t="shared" si="26"/>
        <v>0</v>
      </c>
    </row>
    <row r="48" spans="1:31" ht="13.5" customHeight="1" x14ac:dyDescent="0.2">
      <c r="A48" s="269" t="str">
        <f>A28</f>
        <v>30～39歳(n = 23 )　　</v>
      </c>
      <c r="B48" s="113">
        <f t="shared" si="20"/>
        <v>23</v>
      </c>
      <c r="C48" s="129">
        <v>19</v>
      </c>
      <c r="D48" s="130">
        <v>12</v>
      </c>
      <c r="E48" s="130">
        <v>11</v>
      </c>
      <c r="F48" s="130">
        <v>7</v>
      </c>
      <c r="G48" s="130">
        <v>7</v>
      </c>
      <c r="H48" s="130">
        <v>2</v>
      </c>
      <c r="I48" s="130">
        <v>0</v>
      </c>
      <c r="J48" s="130">
        <v>1</v>
      </c>
      <c r="K48" s="130">
        <v>0</v>
      </c>
      <c r="L48" s="130">
        <v>1</v>
      </c>
      <c r="M48" s="122">
        <v>0</v>
      </c>
      <c r="N48" s="130">
        <v>3</v>
      </c>
      <c r="O48" s="122">
        <v>0</v>
      </c>
      <c r="P48" s="124"/>
      <c r="R48" s="94" t="str">
        <f>A56</f>
        <v>70歳以上(n = 30 )　　</v>
      </c>
      <c r="S48" s="78">
        <f t="shared" ref="S48:AE48" si="27">C57</f>
        <v>76.666666666666671</v>
      </c>
      <c r="T48" s="79">
        <f t="shared" si="27"/>
        <v>73.333333333333329</v>
      </c>
      <c r="U48" s="79">
        <f t="shared" si="27"/>
        <v>23.333333333333332</v>
      </c>
      <c r="V48" s="79">
        <f t="shared" si="27"/>
        <v>33.333333333333329</v>
      </c>
      <c r="W48" s="79">
        <f t="shared" si="27"/>
        <v>20</v>
      </c>
      <c r="X48" s="79">
        <f t="shared" si="27"/>
        <v>20</v>
      </c>
      <c r="Y48" s="80">
        <f t="shared" si="27"/>
        <v>10</v>
      </c>
      <c r="Z48" s="164">
        <f t="shared" si="27"/>
        <v>6.666666666666667</v>
      </c>
      <c r="AA48" s="79">
        <f t="shared" si="27"/>
        <v>3.3333333333333335</v>
      </c>
      <c r="AB48" s="160">
        <f t="shared" si="27"/>
        <v>0</v>
      </c>
      <c r="AC48" s="79">
        <f t="shared" si="27"/>
        <v>3.3333333333333335</v>
      </c>
      <c r="AD48" s="80">
        <f t="shared" si="27"/>
        <v>20</v>
      </c>
      <c r="AE48" s="81">
        <f t="shared" si="27"/>
        <v>0</v>
      </c>
    </row>
    <row r="49" spans="1:19" ht="13.5" customHeight="1" x14ac:dyDescent="0.2">
      <c r="A49" s="270"/>
      <c r="B49" s="114">
        <f t="shared" si="20"/>
        <v>11.557788944723619</v>
      </c>
      <c r="C49" s="125">
        <v>82.608695652173907</v>
      </c>
      <c r="D49" s="126">
        <v>52.173913043478258</v>
      </c>
      <c r="E49" s="126">
        <v>47.826086956521742</v>
      </c>
      <c r="F49" s="126">
        <v>30.434782608695656</v>
      </c>
      <c r="G49" s="126">
        <v>30.434782608695656</v>
      </c>
      <c r="H49" s="126">
        <v>8.695652173913043</v>
      </c>
      <c r="I49" s="126">
        <v>0</v>
      </c>
      <c r="J49" s="126">
        <v>4.3478260869565215</v>
      </c>
      <c r="K49" s="126">
        <v>0</v>
      </c>
      <c r="L49" s="126">
        <v>4.3478260869565215</v>
      </c>
      <c r="M49" s="126">
        <v>0</v>
      </c>
      <c r="N49" s="126">
        <v>13.043478260869565</v>
      </c>
      <c r="O49" s="126">
        <v>0</v>
      </c>
      <c r="P49" s="128"/>
    </row>
    <row r="50" spans="1:19" x14ac:dyDescent="0.2">
      <c r="A50" s="269" t="str">
        <f>A30</f>
        <v>40～49歳(n = 39 )　　</v>
      </c>
      <c r="B50" s="113">
        <f t="shared" si="20"/>
        <v>39</v>
      </c>
      <c r="C50" s="129">
        <v>29</v>
      </c>
      <c r="D50" s="130">
        <v>23</v>
      </c>
      <c r="E50" s="130">
        <v>12</v>
      </c>
      <c r="F50" s="130">
        <v>13</v>
      </c>
      <c r="G50" s="130">
        <v>14</v>
      </c>
      <c r="H50" s="130">
        <v>8</v>
      </c>
      <c r="I50" s="130">
        <v>4</v>
      </c>
      <c r="J50" s="130">
        <v>1</v>
      </c>
      <c r="K50" s="130">
        <v>3</v>
      </c>
      <c r="L50" s="130">
        <v>3</v>
      </c>
      <c r="M50" s="122">
        <v>1</v>
      </c>
      <c r="N50" s="130">
        <v>6</v>
      </c>
      <c r="O50" s="122">
        <v>0</v>
      </c>
      <c r="P50" s="124"/>
    </row>
    <row r="51" spans="1:19" x14ac:dyDescent="0.2">
      <c r="A51" s="270"/>
      <c r="B51" s="114">
        <f t="shared" si="20"/>
        <v>19.597989949748744</v>
      </c>
      <c r="C51" s="125">
        <v>74.358974358974365</v>
      </c>
      <c r="D51" s="126">
        <v>58.974358974358978</v>
      </c>
      <c r="E51" s="126">
        <v>30.76923076923077</v>
      </c>
      <c r="F51" s="126">
        <v>33.333333333333329</v>
      </c>
      <c r="G51" s="126">
        <v>35.897435897435898</v>
      </c>
      <c r="H51" s="126">
        <v>20.512820512820511</v>
      </c>
      <c r="I51" s="126">
        <v>10.256410256410255</v>
      </c>
      <c r="J51" s="126">
        <v>2.5641025641025639</v>
      </c>
      <c r="K51" s="126">
        <v>7.6923076923076925</v>
      </c>
      <c r="L51" s="126">
        <v>7.6923076923076925</v>
      </c>
      <c r="M51" s="126">
        <v>2.5641025641025639</v>
      </c>
      <c r="N51" s="126">
        <v>15.384615384615385</v>
      </c>
      <c r="O51" s="126">
        <v>0</v>
      </c>
      <c r="P51" s="128"/>
    </row>
    <row r="52" spans="1:19" x14ac:dyDescent="0.2">
      <c r="A52" s="269" t="str">
        <f>A32</f>
        <v>50～59歳(n = 42 )　　</v>
      </c>
      <c r="B52" s="113">
        <f t="shared" si="20"/>
        <v>42</v>
      </c>
      <c r="C52" s="129">
        <v>36</v>
      </c>
      <c r="D52" s="130">
        <v>23</v>
      </c>
      <c r="E52" s="130">
        <v>16</v>
      </c>
      <c r="F52" s="130">
        <v>14</v>
      </c>
      <c r="G52" s="130">
        <v>9</v>
      </c>
      <c r="H52" s="130">
        <v>8</v>
      </c>
      <c r="I52" s="130">
        <v>7</v>
      </c>
      <c r="J52" s="130">
        <v>4</v>
      </c>
      <c r="K52" s="130">
        <v>4</v>
      </c>
      <c r="L52" s="130">
        <v>3</v>
      </c>
      <c r="M52" s="122">
        <v>1</v>
      </c>
      <c r="N52" s="130">
        <v>7</v>
      </c>
      <c r="O52" s="122">
        <v>2</v>
      </c>
      <c r="P52" s="124"/>
    </row>
    <row r="53" spans="1:19" x14ac:dyDescent="0.2">
      <c r="A53" s="270"/>
      <c r="B53" s="114">
        <f t="shared" si="20"/>
        <v>21.105527638190953</v>
      </c>
      <c r="C53" s="125">
        <v>85.714285714285708</v>
      </c>
      <c r="D53" s="126">
        <v>54.761904761904766</v>
      </c>
      <c r="E53" s="126">
        <v>38.095238095238095</v>
      </c>
      <c r="F53" s="126">
        <v>33.333333333333329</v>
      </c>
      <c r="G53" s="126">
        <v>21.428571428571427</v>
      </c>
      <c r="H53" s="126">
        <v>19.047619047619047</v>
      </c>
      <c r="I53" s="126">
        <v>16.666666666666664</v>
      </c>
      <c r="J53" s="126">
        <v>9.5238095238095237</v>
      </c>
      <c r="K53" s="126">
        <v>9.5238095238095237</v>
      </c>
      <c r="L53" s="126">
        <v>7.1428571428571423</v>
      </c>
      <c r="M53" s="126">
        <v>2.3809523809523809</v>
      </c>
      <c r="N53" s="126">
        <v>16.666666666666664</v>
      </c>
      <c r="O53" s="126">
        <v>4.7619047619047619</v>
      </c>
      <c r="P53" s="128"/>
    </row>
    <row r="54" spans="1:19" x14ac:dyDescent="0.2">
      <c r="A54" s="269" t="str">
        <f>A34</f>
        <v>60～69歳(n = 45 )　　</v>
      </c>
      <c r="B54" s="113">
        <f t="shared" si="20"/>
        <v>45</v>
      </c>
      <c r="C54" s="129">
        <v>37</v>
      </c>
      <c r="D54" s="130">
        <v>33</v>
      </c>
      <c r="E54" s="130">
        <v>13</v>
      </c>
      <c r="F54" s="130">
        <v>15</v>
      </c>
      <c r="G54" s="130">
        <v>9</v>
      </c>
      <c r="H54" s="130">
        <v>6</v>
      </c>
      <c r="I54" s="130">
        <v>4</v>
      </c>
      <c r="J54" s="130">
        <v>4</v>
      </c>
      <c r="K54" s="130">
        <v>2</v>
      </c>
      <c r="L54" s="130">
        <v>1</v>
      </c>
      <c r="M54" s="122">
        <v>1</v>
      </c>
      <c r="N54" s="130">
        <v>9</v>
      </c>
      <c r="O54" s="122">
        <v>0</v>
      </c>
      <c r="P54" s="124"/>
    </row>
    <row r="55" spans="1:19" x14ac:dyDescent="0.2">
      <c r="A55" s="270"/>
      <c r="B55" s="114">
        <f t="shared" si="20"/>
        <v>22.613065326633166</v>
      </c>
      <c r="C55" s="125">
        <v>82.222222222222214</v>
      </c>
      <c r="D55" s="126">
        <v>73.333333333333329</v>
      </c>
      <c r="E55" s="126">
        <v>28.888888888888886</v>
      </c>
      <c r="F55" s="126">
        <v>33.333333333333329</v>
      </c>
      <c r="G55" s="126">
        <v>20</v>
      </c>
      <c r="H55" s="126">
        <v>13.333333333333334</v>
      </c>
      <c r="I55" s="126">
        <v>8.8888888888888893</v>
      </c>
      <c r="J55" s="126">
        <v>8.8888888888888893</v>
      </c>
      <c r="K55" s="126">
        <v>4.4444444444444446</v>
      </c>
      <c r="L55" s="126">
        <v>2.2222222222222223</v>
      </c>
      <c r="M55" s="126">
        <v>2.2222222222222223</v>
      </c>
      <c r="N55" s="126">
        <v>20</v>
      </c>
      <c r="O55" s="126">
        <v>0</v>
      </c>
      <c r="P55" s="128"/>
    </row>
    <row r="56" spans="1:19" x14ac:dyDescent="0.2">
      <c r="A56" s="269" t="str">
        <f>A36</f>
        <v>70歳以上(n = 30 )　　</v>
      </c>
      <c r="B56" s="113">
        <f t="shared" si="20"/>
        <v>30</v>
      </c>
      <c r="C56" s="129">
        <v>23</v>
      </c>
      <c r="D56" s="130">
        <v>22</v>
      </c>
      <c r="E56" s="130">
        <v>7</v>
      </c>
      <c r="F56" s="130">
        <v>10</v>
      </c>
      <c r="G56" s="130">
        <v>6</v>
      </c>
      <c r="H56" s="130">
        <v>6</v>
      </c>
      <c r="I56" s="130">
        <v>3</v>
      </c>
      <c r="J56" s="130">
        <v>2</v>
      </c>
      <c r="K56" s="130">
        <v>1</v>
      </c>
      <c r="L56" s="130">
        <v>0</v>
      </c>
      <c r="M56" s="122">
        <v>1</v>
      </c>
      <c r="N56" s="130">
        <v>6</v>
      </c>
      <c r="O56" s="122">
        <v>0</v>
      </c>
      <c r="P56" s="124"/>
    </row>
    <row r="57" spans="1:19" x14ac:dyDescent="0.2">
      <c r="A57" s="270"/>
      <c r="B57" s="114">
        <f t="shared" si="20"/>
        <v>15.075376884422109</v>
      </c>
      <c r="C57" s="125">
        <v>76.666666666666671</v>
      </c>
      <c r="D57" s="126">
        <v>73.333333333333329</v>
      </c>
      <c r="E57" s="126">
        <v>23.333333333333332</v>
      </c>
      <c r="F57" s="126">
        <v>33.333333333333329</v>
      </c>
      <c r="G57" s="126">
        <v>20</v>
      </c>
      <c r="H57" s="126">
        <v>20</v>
      </c>
      <c r="I57" s="126">
        <v>10</v>
      </c>
      <c r="J57" s="126">
        <v>6.666666666666667</v>
      </c>
      <c r="K57" s="126">
        <v>3.3333333333333335</v>
      </c>
      <c r="L57" s="126">
        <v>0</v>
      </c>
      <c r="M57" s="126">
        <v>3.3333333333333335</v>
      </c>
      <c r="N57" s="126">
        <v>20</v>
      </c>
      <c r="O57" s="126">
        <v>0</v>
      </c>
      <c r="P57" s="128"/>
    </row>
    <row r="59" spans="1:19" x14ac:dyDescent="0.2">
      <c r="A59" s="3" t="s">
        <v>171</v>
      </c>
      <c r="B59" s="1" t="str">
        <f>B20</f>
        <v>住んでいる地域が住みにくいと感じる点</v>
      </c>
      <c r="C59" s="8"/>
      <c r="D59" s="9"/>
      <c r="E59" s="8"/>
      <c r="F59" s="8"/>
      <c r="G59" s="8"/>
      <c r="H59" s="9" t="s">
        <v>1</v>
      </c>
      <c r="I59" s="8"/>
      <c r="J59" s="8"/>
      <c r="K59" s="8"/>
      <c r="L59" s="8"/>
      <c r="M59" s="8"/>
      <c r="N59" s="8"/>
      <c r="O59" s="8"/>
      <c r="P59" s="8"/>
    </row>
    <row r="60" spans="1:19" ht="86.4" x14ac:dyDescent="0.2">
      <c r="A60" s="13" t="s">
        <v>27</v>
      </c>
      <c r="B60" s="59" t="str">
        <f>B21</f>
        <v>調査数</v>
      </c>
      <c r="C60" s="60" t="str">
        <f t="shared" ref="C60:O60" si="28">C21</f>
        <v>自然が豊かでない</v>
      </c>
      <c r="D60" s="61" t="str">
        <f t="shared" si="28"/>
        <v>町並みなどの景観がよくない</v>
      </c>
      <c r="E60" s="61" t="str">
        <f t="shared" si="28"/>
        <v>　　　ウォーキングなど気軽に
体を動かせる場が近くにない</v>
      </c>
      <c r="F60" s="61" t="str">
        <f t="shared" si="28"/>
        <v>食事、買い物が不便である</v>
      </c>
      <c r="G60" s="61" t="str">
        <f t="shared" si="28"/>
        <v>交通の便がよくない</v>
      </c>
      <c r="H60" s="61" t="str">
        <f t="shared" si="28"/>
        <v>働く場が少ない</v>
      </c>
      <c r="I60" s="61" t="str">
        <f t="shared" si="28"/>
        <v>教育、文化、スポーツの施設が充実していない</v>
      </c>
      <c r="J60" s="61" t="str">
        <f t="shared" si="28"/>
        <v>医療、福祉サービスが充実していない</v>
      </c>
      <c r="K60" s="61" t="str">
        <f t="shared" si="28"/>
        <v>住民相互の交流がない</v>
      </c>
      <c r="L60" s="61" t="str">
        <f t="shared" si="28"/>
        <v>治安が悪い</v>
      </c>
      <c r="M60" s="61" t="str">
        <f t="shared" si="28"/>
        <v>災害が多い</v>
      </c>
      <c r="N60" s="61" t="str">
        <f t="shared" si="28"/>
        <v>その他</v>
      </c>
      <c r="O60" s="61" t="str">
        <f t="shared" si="28"/>
        <v>特にない</v>
      </c>
      <c r="P60" s="63"/>
      <c r="Q60" s="221" t="s">
        <v>155</v>
      </c>
      <c r="R60" s="202" t="s">
        <v>242</v>
      </c>
    </row>
    <row r="61" spans="1:19" x14ac:dyDescent="0.2">
      <c r="A61" s="269" t="str">
        <f>A42</f>
        <v>全体(n = 201 )　　</v>
      </c>
      <c r="B61" s="28">
        <f>SUM(B63,B65,B67,B69,B71)</f>
        <v>196</v>
      </c>
      <c r="C61" s="28">
        <f>SUM(C63,C65,C67,C69,C71)</f>
        <v>7</v>
      </c>
      <c r="D61" s="29">
        <f t="shared" ref="D61:O61" si="29">SUM(D63,D65,D67,D69,D71)</f>
        <v>21</v>
      </c>
      <c r="E61" s="29">
        <f t="shared" si="29"/>
        <v>34</v>
      </c>
      <c r="F61" s="29">
        <f t="shared" si="29"/>
        <v>121</v>
      </c>
      <c r="G61" s="29">
        <f t="shared" si="29"/>
        <v>158</v>
      </c>
      <c r="H61" s="29">
        <f t="shared" si="29"/>
        <v>68</v>
      </c>
      <c r="I61" s="29">
        <f t="shared" si="29"/>
        <v>50</v>
      </c>
      <c r="J61" s="29">
        <f t="shared" si="29"/>
        <v>65</v>
      </c>
      <c r="K61" s="29">
        <f t="shared" si="29"/>
        <v>13</v>
      </c>
      <c r="L61" s="29">
        <f t="shared" si="29"/>
        <v>4</v>
      </c>
      <c r="M61" s="29">
        <f t="shared" si="29"/>
        <v>10</v>
      </c>
      <c r="N61" s="29">
        <f t="shared" si="29"/>
        <v>34</v>
      </c>
      <c r="O61" s="29">
        <f t="shared" si="29"/>
        <v>2</v>
      </c>
      <c r="P61" s="30"/>
      <c r="Q61" s="195">
        <f>SUM($C61:P61)</f>
        <v>587</v>
      </c>
      <c r="R61" s="166">
        <f>B61</f>
        <v>196</v>
      </c>
    </row>
    <row r="62" spans="1:19" x14ac:dyDescent="0.2">
      <c r="A62" s="270"/>
      <c r="B62" s="35">
        <v>100</v>
      </c>
      <c r="C62" s="20">
        <f t="shared" ref="C62:O62" si="30">C61/$B61*100</f>
        <v>3.5714285714285712</v>
      </c>
      <c r="D62" s="207">
        <f t="shared" si="30"/>
        <v>10.714285714285714</v>
      </c>
      <c r="E62" s="207">
        <f t="shared" si="30"/>
        <v>17.346938775510203</v>
      </c>
      <c r="F62" s="207">
        <f t="shared" si="30"/>
        <v>61.734693877551017</v>
      </c>
      <c r="G62" s="207">
        <f t="shared" si="30"/>
        <v>80.612244897959187</v>
      </c>
      <c r="H62" s="207">
        <f t="shared" si="30"/>
        <v>34.693877551020407</v>
      </c>
      <c r="I62" s="207">
        <f t="shared" si="30"/>
        <v>25.510204081632654</v>
      </c>
      <c r="J62" s="207">
        <f t="shared" si="30"/>
        <v>33.163265306122447</v>
      </c>
      <c r="K62" s="207">
        <f t="shared" si="30"/>
        <v>6.6326530612244898</v>
      </c>
      <c r="L62" s="207">
        <f t="shared" si="30"/>
        <v>2.0408163265306123</v>
      </c>
      <c r="M62" s="207">
        <f t="shared" si="30"/>
        <v>5.1020408163265305</v>
      </c>
      <c r="N62" s="207">
        <f t="shared" si="30"/>
        <v>17.346938775510203</v>
      </c>
      <c r="O62" s="207">
        <f t="shared" si="30"/>
        <v>1.0204081632653061</v>
      </c>
      <c r="P62" s="208"/>
      <c r="Q62" s="195"/>
    </row>
    <row r="63" spans="1:19" ht="13.5" customHeight="1" x14ac:dyDescent="0.2">
      <c r="A63" s="297" t="str">
        <f>"岐阜圏域(n = "&amp;B63&amp;" )　　"</f>
        <v>岐阜圏域(n = 70 )　　</v>
      </c>
      <c r="B63" s="34">
        <v>70</v>
      </c>
      <c r="C63" s="31">
        <v>2</v>
      </c>
      <c r="D63" s="32">
        <v>7</v>
      </c>
      <c r="E63" s="32">
        <v>9</v>
      </c>
      <c r="F63" s="32">
        <v>41</v>
      </c>
      <c r="G63" s="32">
        <v>57</v>
      </c>
      <c r="H63" s="32">
        <v>16</v>
      </c>
      <c r="I63" s="32">
        <v>17</v>
      </c>
      <c r="J63" s="32">
        <v>16</v>
      </c>
      <c r="K63" s="32">
        <v>4</v>
      </c>
      <c r="L63" s="32">
        <v>1</v>
      </c>
      <c r="M63" s="32">
        <v>2</v>
      </c>
      <c r="N63" s="32">
        <v>9</v>
      </c>
      <c r="O63" s="32">
        <v>1</v>
      </c>
      <c r="P63" s="30"/>
      <c r="Q63" s="104">
        <f>SUM($C63:P63)</f>
        <v>182</v>
      </c>
      <c r="R63" s="166">
        <f>B63</f>
        <v>70</v>
      </c>
      <c r="S63" t="str">
        <f>" 岐阜圏域（N = "&amp;Q63&amp;" : n = "&amp;R63&amp;"）"</f>
        <v xml:space="preserve"> 岐阜圏域（N = 182 : n = 70）</v>
      </c>
    </row>
    <row r="64" spans="1:19" x14ac:dyDescent="0.2">
      <c r="A64" s="298"/>
      <c r="B64" s="20">
        <f>B63/$B$61*100</f>
        <v>35.714285714285715</v>
      </c>
      <c r="C64" s="20">
        <f t="shared" ref="C64:O64" si="31">C63/$B63*100</f>
        <v>2.8571428571428572</v>
      </c>
      <c r="D64" s="207">
        <f t="shared" si="31"/>
        <v>10</v>
      </c>
      <c r="E64" s="207">
        <f t="shared" si="31"/>
        <v>12.857142857142856</v>
      </c>
      <c r="F64" s="207">
        <f t="shared" si="31"/>
        <v>58.571428571428577</v>
      </c>
      <c r="G64" s="207">
        <f t="shared" si="31"/>
        <v>81.428571428571431</v>
      </c>
      <c r="H64" s="207">
        <f t="shared" si="31"/>
        <v>22.857142857142858</v>
      </c>
      <c r="I64" s="207">
        <f t="shared" si="31"/>
        <v>24.285714285714285</v>
      </c>
      <c r="J64" s="207">
        <f t="shared" si="31"/>
        <v>22.857142857142858</v>
      </c>
      <c r="K64" s="207">
        <f t="shared" si="31"/>
        <v>5.7142857142857144</v>
      </c>
      <c r="L64" s="207">
        <f t="shared" si="31"/>
        <v>1.4285714285714286</v>
      </c>
      <c r="M64" s="207">
        <f t="shared" si="31"/>
        <v>2.8571428571428572</v>
      </c>
      <c r="N64" s="207">
        <f t="shared" si="31"/>
        <v>12.857142857142856</v>
      </c>
      <c r="O64" s="207">
        <f t="shared" si="31"/>
        <v>1.4285714285714286</v>
      </c>
      <c r="P64" s="208"/>
      <c r="Q64" s="195"/>
    </row>
    <row r="65" spans="1:31" ht="13.5" customHeight="1" x14ac:dyDescent="0.2">
      <c r="A65" s="297" t="str">
        <f>"西濃圏域(n = "&amp;B65&amp;" )　　"</f>
        <v>西濃圏域(n = 26 )　　</v>
      </c>
      <c r="B65" s="34">
        <v>26</v>
      </c>
      <c r="C65" s="31">
        <v>1</v>
      </c>
      <c r="D65" s="32">
        <v>5</v>
      </c>
      <c r="E65" s="32">
        <v>5</v>
      </c>
      <c r="F65" s="32">
        <v>12</v>
      </c>
      <c r="G65" s="32">
        <v>19</v>
      </c>
      <c r="H65" s="32">
        <v>12</v>
      </c>
      <c r="I65" s="32">
        <v>7</v>
      </c>
      <c r="J65" s="32">
        <v>8</v>
      </c>
      <c r="K65" s="32">
        <v>2</v>
      </c>
      <c r="L65" s="32">
        <v>1</v>
      </c>
      <c r="M65" s="32">
        <v>2</v>
      </c>
      <c r="N65" s="32">
        <v>5</v>
      </c>
      <c r="O65" s="32">
        <v>0</v>
      </c>
      <c r="P65" s="30"/>
      <c r="Q65" s="104">
        <f>SUM($C65:P65)</f>
        <v>79</v>
      </c>
      <c r="R65" s="166">
        <f>B65</f>
        <v>26</v>
      </c>
      <c r="S65" t="str">
        <f>" 西濃圏域（N = "&amp;Q65&amp;" : n = "&amp;R65&amp;"）"</f>
        <v xml:space="preserve"> 西濃圏域（N = 79 : n = 26）</v>
      </c>
    </row>
    <row r="66" spans="1:31" x14ac:dyDescent="0.2">
      <c r="A66" s="298"/>
      <c r="B66" s="20">
        <f>B65/$B$61*100</f>
        <v>13.26530612244898</v>
      </c>
      <c r="C66" s="20">
        <f t="shared" ref="C66:O66" si="32">C65/$B65*100</f>
        <v>3.8461538461538463</v>
      </c>
      <c r="D66" s="207">
        <f t="shared" si="32"/>
        <v>19.230769230769234</v>
      </c>
      <c r="E66" s="207">
        <f t="shared" si="32"/>
        <v>19.230769230769234</v>
      </c>
      <c r="F66" s="207">
        <f t="shared" si="32"/>
        <v>46.153846153846153</v>
      </c>
      <c r="G66" s="207">
        <f t="shared" si="32"/>
        <v>73.076923076923066</v>
      </c>
      <c r="H66" s="207">
        <f t="shared" si="32"/>
        <v>46.153846153846153</v>
      </c>
      <c r="I66" s="207">
        <f t="shared" si="32"/>
        <v>26.923076923076923</v>
      </c>
      <c r="J66" s="207">
        <f t="shared" si="32"/>
        <v>30.76923076923077</v>
      </c>
      <c r="K66" s="207">
        <f t="shared" si="32"/>
        <v>7.6923076923076925</v>
      </c>
      <c r="L66" s="207">
        <f t="shared" si="32"/>
        <v>3.8461538461538463</v>
      </c>
      <c r="M66" s="207">
        <f t="shared" si="32"/>
        <v>7.6923076923076925</v>
      </c>
      <c r="N66" s="207">
        <f t="shared" si="32"/>
        <v>19.230769230769234</v>
      </c>
      <c r="O66" s="207">
        <f t="shared" si="32"/>
        <v>0</v>
      </c>
      <c r="P66" s="208"/>
      <c r="Q66" s="195"/>
    </row>
    <row r="67" spans="1:31" ht="13.5" customHeight="1" x14ac:dyDescent="0.2">
      <c r="A67" s="297" t="str">
        <f>"中濃圏域(n = "&amp;B67&amp;" )　　"</f>
        <v>中濃圏域(n = 33 )　　</v>
      </c>
      <c r="B67" s="34">
        <v>33</v>
      </c>
      <c r="C67" s="31">
        <v>1</v>
      </c>
      <c r="D67" s="32">
        <v>3</v>
      </c>
      <c r="E67" s="32">
        <v>5</v>
      </c>
      <c r="F67" s="32">
        <v>18</v>
      </c>
      <c r="G67" s="32">
        <v>26</v>
      </c>
      <c r="H67" s="32">
        <v>14</v>
      </c>
      <c r="I67" s="32">
        <v>9</v>
      </c>
      <c r="J67" s="32">
        <v>12</v>
      </c>
      <c r="K67" s="32">
        <v>3</v>
      </c>
      <c r="L67" s="32">
        <v>1</v>
      </c>
      <c r="M67" s="32">
        <v>4</v>
      </c>
      <c r="N67" s="32">
        <v>9</v>
      </c>
      <c r="O67" s="32">
        <v>1</v>
      </c>
      <c r="P67" s="30"/>
      <c r="Q67" s="104">
        <f>SUM($C67:P67)</f>
        <v>106</v>
      </c>
      <c r="R67" s="166">
        <f>B67</f>
        <v>33</v>
      </c>
      <c r="S67" t="str">
        <f>" 中濃圏域（N = "&amp;Q67&amp;" : n = "&amp;R67&amp;"）"</f>
        <v xml:space="preserve"> 中濃圏域（N = 106 : n = 33）</v>
      </c>
    </row>
    <row r="68" spans="1:31" x14ac:dyDescent="0.2">
      <c r="A68" s="298"/>
      <c r="B68" s="20">
        <f>B67/$B$61*100</f>
        <v>16.836734693877549</v>
      </c>
      <c r="C68" s="20">
        <f t="shared" ref="C68:O68" si="33">C67/$B67*100</f>
        <v>3.0303030303030303</v>
      </c>
      <c r="D68" s="207">
        <f t="shared" si="33"/>
        <v>9.0909090909090917</v>
      </c>
      <c r="E68" s="207">
        <f t="shared" si="33"/>
        <v>15.151515151515152</v>
      </c>
      <c r="F68" s="207">
        <f t="shared" si="33"/>
        <v>54.54545454545454</v>
      </c>
      <c r="G68" s="207">
        <f t="shared" si="33"/>
        <v>78.787878787878782</v>
      </c>
      <c r="H68" s="207">
        <f t="shared" si="33"/>
        <v>42.424242424242422</v>
      </c>
      <c r="I68" s="207">
        <f t="shared" si="33"/>
        <v>27.27272727272727</v>
      </c>
      <c r="J68" s="207">
        <f t="shared" si="33"/>
        <v>36.363636363636367</v>
      </c>
      <c r="K68" s="207">
        <f t="shared" si="33"/>
        <v>9.0909090909090917</v>
      </c>
      <c r="L68" s="207">
        <f t="shared" si="33"/>
        <v>3.0303030303030303</v>
      </c>
      <c r="M68" s="207">
        <f t="shared" si="33"/>
        <v>12.121212121212121</v>
      </c>
      <c r="N68" s="207">
        <f t="shared" si="33"/>
        <v>27.27272727272727</v>
      </c>
      <c r="O68" s="207">
        <f t="shared" si="33"/>
        <v>3.0303030303030303</v>
      </c>
      <c r="P68" s="208"/>
      <c r="Q68" s="195"/>
    </row>
    <row r="69" spans="1:31" ht="13.5" customHeight="1" x14ac:dyDescent="0.2">
      <c r="A69" s="297" t="str">
        <f>"東濃圏域(n = "&amp;B69&amp;" )　　"</f>
        <v>東濃圏域(n = 50 )　　</v>
      </c>
      <c r="B69" s="34">
        <v>50</v>
      </c>
      <c r="C69" s="31">
        <v>3</v>
      </c>
      <c r="D69" s="32">
        <v>4</v>
      </c>
      <c r="E69" s="32">
        <v>11</v>
      </c>
      <c r="F69" s="32">
        <v>39</v>
      </c>
      <c r="G69" s="32">
        <v>44</v>
      </c>
      <c r="H69" s="32">
        <v>18</v>
      </c>
      <c r="I69" s="32">
        <v>11</v>
      </c>
      <c r="J69" s="32">
        <v>20</v>
      </c>
      <c r="K69" s="32">
        <v>4</v>
      </c>
      <c r="L69" s="32">
        <v>1</v>
      </c>
      <c r="M69" s="32">
        <v>1</v>
      </c>
      <c r="N69" s="32">
        <v>6</v>
      </c>
      <c r="O69" s="32">
        <v>0</v>
      </c>
      <c r="P69" s="30"/>
      <c r="Q69" s="104">
        <f>SUM($C69:P69)</f>
        <v>162</v>
      </c>
      <c r="R69" s="166">
        <f>B69</f>
        <v>50</v>
      </c>
      <c r="S69" t="str">
        <f>" 東濃圏域（N = "&amp;Q69&amp;" : n = "&amp;R69&amp;"）"</f>
        <v xml:space="preserve"> 東濃圏域（N = 162 : n = 50）</v>
      </c>
    </row>
    <row r="70" spans="1:31" x14ac:dyDescent="0.2">
      <c r="A70" s="298"/>
      <c r="B70" s="20">
        <f>B69/$B$61*100</f>
        <v>25.510204081632654</v>
      </c>
      <c r="C70" s="20">
        <f t="shared" ref="C70:O70" si="34">C69/$B69*100</f>
        <v>6</v>
      </c>
      <c r="D70" s="207">
        <f t="shared" si="34"/>
        <v>8</v>
      </c>
      <c r="E70" s="207">
        <f t="shared" si="34"/>
        <v>22</v>
      </c>
      <c r="F70" s="207">
        <f t="shared" si="34"/>
        <v>78</v>
      </c>
      <c r="G70" s="207">
        <f t="shared" si="34"/>
        <v>88</v>
      </c>
      <c r="H70" s="207">
        <f t="shared" si="34"/>
        <v>36</v>
      </c>
      <c r="I70" s="207">
        <f t="shared" si="34"/>
        <v>22</v>
      </c>
      <c r="J70" s="207">
        <f t="shared" si="34"/>
        <v>40</v>
      </c>
      <c r="K70" s="207">
        <f t="shared" si="34"/>
        <v>8</v>
      </c>
      <c r="L70" s="207">
        <f t="shared" si="34"/>
        <v>2</v>
      </c>
      <c r="M70" s="207">
        <f t="shared" si="34"/>
        <v>2</v>
      </c>
      <c r="N70" s="207">
        <f t="shared" si="34"/>
        <v>12</v>
      </c>
      <c r="O70" s="207">
        <f t="shared" si="34"/>
        <v>0</v>
      </c>
      <c r="P70" s="208"/>
      <c r="Q70" s="195"/>
    </row>
    <row r="71" spans="1:31" ht="13.5" customHeight="1" x14ac:dyDescent="0.2">
      <c r="A71" s="297" t="str">
        <f>"飛騨圏域(n = "&amp;B71&amp;" )　　"</f>
        <v>飛騨圏域(n = 17 )　　</v>
      </c>
      <c r="B71" s="34">
        <v>17</v>
      </c>
      <c r="C71" s="31">
        <v>0</v>
      </c>
      <c r="D71" s="32">
        <v>2</v>
      </c>
      <c r="E71" s="32">
        <v>4</v>
      </c>
      <c r="F71" s="32">
        <v>11</v>
      </c>
      <c r="G71" s="32">
        <v>12</v>
      </c>
      <c r="H71" s="32">
        <v>8</v>
      </c>
      <c r="I71" s="32">
        <v>6</v>
      </c>
      <c r="J71" s="32">
        <v>9</v>
      </c>
      <c r="K71" s="32">
        <v>0</v>
      </c>
      <c r="L71" s="32">
        <v>0</v>
      </c>
      <c r="M71" s="32">
        <v>1</v>
      </c>
      <c r="N71" s="32">
        <v>5</v>
      </c>
      <c r="O71" s="32">
        <v>0</v>
      </c>
      <c r="P71" s="30"/>
      <c r="Q71" s="104">
        <f>SUM($C71:P71)</f>
        <v>58</v>
      </c>
      <c r="R71" s="166">
        <f>B71</f>
        <v>17</v>
      </c>
      <c r="S71" t="str">
        <f>" 飛騨圏域（N = "&amp;Q71&amp;" : n = "&amp;R71&amp;"）"</f>
        <v xml:space="preserve"> 飛騨圏域（N = 58 : n = 17）</v>
      </c>
    </row>
    <row r="72" spans="1:31" ht="12.75" customHeight="1" x14ac:dyDescent="0.2">
      <c r="A72" s="298"/>
      <c r="B72" s="20">
        <f>B71/$B$61*100</f>
        <v>8.6734693877551017</v>
      </c>
      <c r="C72" s="20">
        <f t="shared" ref="C72:O72" si="35">C71/$B71*100</f>
        <v>0</v>
      </c>
      <c r="D72" s="207">
        <f t="shared" si="35"/>
        <v>11.76470588235294</v>
      </c>
      <c r="E72" s="207">
        <f t="shared" si="35"/>
        <v>23.52941176470588</v>
      </c>
      <c r="F72" s="207">
        <f t="shared" si="35"/>
        <v>64.705882352941174</v>
      </c>
      <c r="G72" s="207">
        <f t="shared" si="35"/>
        <v>70.588235294117652</v>
      </c>
      <c r="H72" s="207">
        <f t="shared" si="35"/>
        <v>47.058823529411761</v>
      </c>
      <c r="I72" s="207">
        <f t="shared" si="35"/>
        <v>35.294117647058826</v>
      </c>
      <c r="J72" s="207">
        <f t="shared" si="35"/>
        <v>52.941176470588239</v>
      </c>
      <c r="K72" s="207">
        <f t="shared" si="35"/>
        <v>0</v>
      </c>
      <c r="L72" s="207">
        <f t="shared" si="35"/>
        <v>0</v>
      </c>
      <c r="M72" s="207">
        <f t="shared" si="35"/>
        <v>5.8823529411764701</v>
      </c>
      <c r="N72" s="207">
        <f t="shared" si="35"/>
        <v>29.411764705882355</v>
      </c>
      <c r="O72" s="207">
        <f t="shared" si="35"/>
        <v>0</v>
      </c>
      <c r="P72" s="208"/>
      <c r="Q72" s="195"/>
    </row>
    <row r="73" spans="1:31" s="186" customFormat="1" x14ac:dyDescent="0.2">
      <c r="A73" s="184"/>
      <c r="B73" s="182"/>
      <c r="C73" s="172">
        <f>_xlfn.RANK.EQ(C62,$C$62:$P$62,0)</f>
        <v>11</v>
      </c>
      <c r="D73" s="172">
        <f t="shared" ref="D73:P73" si="36">_xlfn.RANK.EQ(D62,$C$62:$P$62,0)</f>
        <v>8</v>
      </c>
      <c r="E73" s="172">
        <f t="shared" si="36"/>
        <v>6</v>
      </c>
      <c r="F73" s="172">
        <f t="shared" si="36"/>
        <v>2</v>
      </c>
      <c r="G73" s="172">
        <f t="shared" si="36"/>
        <v>1</v>
      </c>
      <c r="H73" s="172">
        <f t="shared" si="36"/>
        <v>3</v>
      </c>
      <c r="I73" s="172">
        <f t="shared" si="36"/>
        <v>5</v>
      </c>
      <c r="J73" s="172">
        <f t="shared" si="36"/>
        <v>4</v>
      </c>
      <c r="K73" s="172">
        <f t="shared" si="36"/>
        <v>9</v>
      </c>
      <c r="L73" s="172">
        <f t="shared" si="36"/>
        <v>12</v>
      </c>
      <c r="M73" s="172">
        <f t="shared" si="36"/>
        <v>10</v>
      </c>
      <c r="N73" s="172">
        <f t="shared" si="36"/>
        <v>6</v>
      </c>
      <c r="O73" s="172">
        <f t="shared" si="36"/>
        <v>13</v>
      </c>
      <c r="P73" s="172" t="e">
        <f t="shared" si="36"/>
        <v>#N/A</v>
      </c>
    </row>
    <row r="74" spans="1:31" ht="12.75" customHeight="1" x14ac:dyDescent="0.2">
      <c r="A74" s="26" t="s">
        <v>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31" ht="12.75" customHeight="1" x14ac:dyDescent="0.2">
      <c r="A75" s="6" t="s">
        <v>4</v>
      </c>
      <c r="B75" s="4"/>
      <c r="C75" s="27">
        <v>1</v>
      </c>
      <c r="D75" s="27">
        <v>2</v>
      </c>
      <c r="E75" s="27">
        <v>3</v>
      </c>
      <c r="F75" s="27">
        <v>4</v>
      </c>
      <c r="G75" s="27">
        <v>5</v>
      </c>
      <c r="H75" s="27">
        <v>6</v>
      </c>
      <c r="I75" s="27">
        <v>7</v>
      </c>
      <c r="J75" s="27">
        <v>8</v>
      </c>
      <c r="K75" s="27">
        <v>9</v>
      </c>
      <c r="L75" s="27">
        <v>10</v>
      </c>
      <c r="M75" s="27">
        <v>11</v>
      </c>
      <c r="N75" s="27">
        <v>12</v>
      </c>
      <c r="O75" s="27">
        <v>13</v>
      </c>
      <c r="P75" s="27">
        <v>14</v>
      </c>
      <c r="R75" s="45"/>
      <c r="S75" s="27">
        <v>1</v>
      </c>
      <c r="T75" s="27">
        <v>2</v>
      </c>
      <c r="U75" s="27">
        <v>3</v>
      </c>
      <c r="V75" s="27">
        <v>4</v>
      </c>
      <c r="W75" s="27">
        <v>5</v>
      </c>
      <c r="X75" s="27">
        <v>6</v>
      </c>
      <c r="Y75" s="27">
        <v>7</v>
      </c>
      <c r="Z75" s="27">
        <v>8</v>
      </c>
      <c r="AA75" s="27">
        <v>9</v>
      </c>
      <c r="AB75" s="27">
        <v>10</v>
      </c>
      <c r="AC75" s="27">
        <v>11</v>
      </c>
      <c r="AD75" s="27">
        <v>12</v>
      </c>
      <c r="AE75" s="27">
        <v>13</v>
      </c>
    </row>
    <row r="76" spans="1:31" ht="67.5" customHeight="1" x14ac:dyDescent="0.2">
      <c r="A76" s="12" t="str">
        <f>A60</f>
        <v>【居住圏域別】</v>
      </c>
      <c r="B76" s="59" t="str">
        <f>B41</f>
        <v>調査数</v>
      </c>
      <c r="C76" s="60" t="s">
        <v>234</v>
      </c>
      <c r="D76" s="61" t="s">
        <v>232</v>
      </c>
      <c r="E76" s="61" t="s">
        <v>238</v>
      </c>
      <c r="F76" s="61" t="s">
        <v>235</v>
      </c>
      <c r="G76" s="61" t="s">
        <v>240</v>
      </c>
      <c r="H76" s="61" t="s">
        <v>237</v>
      </c>
      <c r="I76" s="61" t="s">
        <v>236</v>
      </c>
      <c r="J76" s="61" t="s">
        <v>241</v>
      </c>
      <c r="K76" s="105" t="s">
        <v>233</v>
      </c>
      <c r="L76" s="61" t="s">
        <v>231</v>
      </c>
      <c r="M76" s="62" t="s">
        <v>239</v>
      </c>
      <c r="N76" s="61" t="s">
        <v>57</v>
      </c>
      <c r="O76" s="62" t="s">
        <v>75</v>
      </c>
      <c r="P76" s="63"/>
      <c r="Q76" s="44" t="s">
        <v>32</v>
      </c>
      <c r="R76" s="12" t="str">
        <f>A76</f>
        <v>【居住圏域別】</v>
      </c>
      <c r="S76" s="60" t="str">
        <f t="shared" ref="S76:AE76" si="37">C76</f>
        <v>交通の便がよくない</v>
      </c>
      <c r="T76" s="61" t="str">
        <f t="shared" si="37"/>
        <v>食事、買い物が不便である</v>
      </c>
      <c r="U76" s="61" t="str">
        <f t="shared" si="37"/>
        <v>働く場が少ない</v>
      </c>
      <c r="V76" s="61" t="str">
        <f t="shared" si="37"/>
        <v>医療、福祉サービスが充実していない</v>
      </c>
      <c r="W76" s="61" t="str">
        <f t="shared" si="37"/>
        <v>教育、文化、スポーツの施設が充実していない</v>
      </c>
      <c r="X76" s="61" t="str">
        <f t="shared" si="37"/>
        <v>　　　ウォーキングなど気軽に
体を動かせる場が近くにない</v>
      </c>
      <c r="Y76" s="62" t="str">
        <f t="shared" si="37"/>
        <v>町並みなどの景観がよくない</v>
      </c>
      <c r="Z76" s="156" t="str">
        <f t="shared" si="37"/>
        <v>住民相互の交流がない</v>
      </c>
      <c r="AA76" s="61" t="str">
        <f t="shared" si="37"/>
        <v>災害が多い</v>
      </c>
      <c r="AB76" s="105" t="str">
        <f t="shared" si="37"/>
        <v>自然が豊かでない</v>
      </c>
      <c r="AC76" s="61" t="str">
        <f t="shared" si="37"/>
        <v>治安が悪い</v>
      </c>
      <c r="AD76" s="62" t="str">
        <f t="shared" si="37"/>
        <v>その他</v>
      </c>
      <c r="AE76" s="63" t="str">
        <f t="shared" si="37"/>
        <v>特にない</v>
      </c>
    </row>
    <row r="77" spans="1:31" ht="12.75" customHeight="1" x14ac:dyDescent="0.2">
      <c r="A77" s="269" t="str">
        <f>A61</f>
        <v>全体(n = 201 )　　</v>
      </c>
      <c r="B77" s="113">
        <f t="shared" ref="B77:B87" si="38">B61</f>
        <v>196</v>
      </c>
      <c r="C77" s="121">
        <v>158</v>
      </c>
      <c r="D77" s="122">
        <v>121</v>
      </c>
      <c r="E77" s="122">
        <v>68</v>
      </c>
      <c r="F77" s="122">
        <v>65</v>
      </c>
      <c r="G77" s="122">
        <v>50</v>
      </c>
      <c r="H77" s="122">
        <v>34</v>
      </c>
      <c r="I77" s="122">
        <v>21</v>
      </c>
      <c r="J77" s="122">
        <v>13</v>
      </c>
      <c r="K77" s="154">
        <v>10</v>
      </c>
      <c r="L77" s="122">
        <v>7</v>
      </c>
      <c r="M77" s="123">
        <v>4</v>
      </c>
      <c r="N77" s="122">
        <v>34</v>
      </c>
      <c r="O77" s="123">
        <v>2</v>
      </c>
      <c r="P77" s="124"/>
      <c r="R77" s="93" t="str">
        <f>A79</f>
        <v>岐阜圏域(n = 70 )　　</v>
      </c>
      <c r="S77" s="84">
        <f t="shared" ref="S77:AE77" si="39">C80</f>
        <v>81.428571428571431</v>
      </c>
      <c r="T77" s="85">
        <f t="shared" si="39"/>
        <v>58.571428571428577</v>
      </c>
      <c r="U77" s="85">
        <f t="shared" si="39"/>
        <v>22.857142857142858</v>
      </c>
      <c r="V77" s="85">
        <f t="shared" si="39"/>
        <v>22.857142857142858</v>
      </c>
      <c r="W77" s="85">
        <f t="shared" si="39"/>
        <v>24.285714285714285</v>
      </c>
      <c r="X77" s="85">
        <f t="shared" si="39"/>
        <v>12.857142857142856</v>
      </c>
      <c r="Y77" s="86">
        <f t="shared" si="39"/>
        <v>10</v>
      </c>
      <c r="Z77" s="161">
        <f t="shared" si="39"/>
        <v>5.7142857142857144</v>
      </c>
      <c r="AA77" s="85">
        <f t="shared" si="39"/>
        <v>2.8571428571428572</v>
      </c>
      <c r="AB77" s="157">
        <f t="shared" si="39"/>
        <v>2.8571428571428572</v>
      </c>
      <c r="AC77" s="85">
        <f t="shared" si="39"/>
        <v>1.4285714285714286</v>
      </c>
      <c r="AD77" s="86">
        <f t="shared" si="39"/>
        <v>12.857142857142856</v>
      </c>
      <c r="AE77" s="87">
        <f t="shared" si="39"/>
        <v>1.4285714285714286</v>
      </c>
    </row>
    <row r="78" spans="1:31" ht="13.5" customHeight="1" x14ac:dyDescent="0.2">
      <c r="A78" s="270"/>
      <c r="B78" s="114">
        <f t="shared" si="38"/>
        <v>100</v>
      </c>
      <c r="C78" s="125">
        <v>80.612244897959187</v>
      </c>
      <c r="D78" s="126">
        <v>61.734693877551017</v>
      </c>
      <c r="E78" s="126">
        <v>34.693877551020407</v>
      </c>
      <c r="F78" s="126">
        <v>33.163265306122447</v>
      </c>
      <c r="G78" s="126">
        <v>25.510204081632654</v>
      </c>
      <c r="H78" s="126">
        <v>17.346938775510203</v>
      </c>
      <c r="I78" s="126">
        <v>10.714285714285714</v>
      </c>
      <c r="J78" s="126">
        <v>6.6326530612244898</v>
      </c>
      <c r="K78" s="142">
        <v>5.1020408163265305</v>
      </c>
      <c r="L78" s="126">
        <v>3.5714285714285712</v>
      </c>
      <c r="M78" s="127">
        <v>2.0408163265306123</v>
      </c>
      <c r="N78" s="126">
        <v>17.346938775510203</v>
      </c>
      <c r="O78" s="127">
        <v>1.0204081632653061</v>
      </c>
      <c r="P78" s="128"/>
      <c r="R78" s="95" t="str">
        <f>A81</f>
        <v>西濃圏域(n = 26 )　　</v>
      </c>
      <c r="S78" s="88">
        <f t="shared" ref="S78:AE78" si="40">C82</f>
        <v>73.076923076923066</v>
      </c>
      <c r="T78" s="89">
        <f t="shared" si="40"/>
        <v>46.153846153846153</v>
      </c>
      <c r="U78" s="89">
        <f t="shared" si="40"/>
        <v>46.153846153846153</v>
      </c>
      <c r="V78" s="89">
        <f t="shared" si="40"/>
        <v>30.76923076923077</v>
      </c>
      <c r="W78" s="89">
        <f t="shared" si="40"/>
        <v>26.923076923076923</v>
      </c>
      <c r="X78" s="89">
        <f t="shared" si="40"/>
        <v>19.230769230769234</v>
      </c>
      <c r="Y78" s="90">
        <f t="shared" si="40"/>
        <v>19.230769230769234</v>
      </c>
      <c r="Z78" s="162">
        <f t="shared" si="40"/>
        <v>7.6923076923076925</v>
      </c>
      <c r="AA78" s="89">
        <f t="shared" si="40"/>
        <v>7.6923076923076925</v>
      </c>
      <c r="AB78" s="158">
        <f t="shared" si="40"/>
        <v>3.8461538461538463</v>
      </c>
      <c r="AC78" s="89">
        <f t="shared" si="40"/>
        <v>3.8461538461538463</v>
      </c>
      <c r="AD78" s="90">
        <f t="shared" si="40"/>
        <v>19.230769230769234</v>
      </c>
      <c r="AE78" s="91">
        <f t="shared" si="40"/>
        <v>0</v>
      </c>
    </row>
    <row r="79" spans="1:31" ht="13.5" customHeight="1" x14ac:dyDescent="0.2">
      <c r="A79" s="269" t="str">
        <f>A63</f>
        <v>岐阜圏域(n = 70 )　　</v>
      </c>
      <c r="B79" s="113">
        <f t="shared" si="38"/>
        <v>70</v>
      </c>
      <c r="C79" s="129">
        <v>57</v>
      </c>
      <c r="D79" s="130">
        <v>41</v>
      </c>
      <c r="E79" s="130">
        <v>16</v>
      </c>
      <c r="F79" s="130">
        <v>16</v>
      </c>
      <c r="G79" s="130">
        <v>17</v>
      </c>
      <c r="H79" s="130">
        <v>9</v>
      </c>
      <c r="I79" s="130">
        <v>7</v>
      </c>
      <c r="J79" s="130">
        <v>4</v>
      </c>
      <c r="K79" s="141">
        <v>2</v>
      </c>
      <c r="L79" s="130">
        <v>2</v>
      </c>
      <c r="M79" s="130">
        <v>1</v>
      </c>
      <c r="N79" s="130">
        <v>9</v>
      </c>
      <c r="O79" s="140">
        <v>1</v>
      </c>
      <c r="P79" s="131"/>
      <c r="R79" s="95" t="str">
        <f>A83</f>
        <v>中濃圏域(n = 33 )　　</v>
      </c>
      <c r="S79" s="88">
        <f t="shared" ref="S79:AE79" si="41">C84</f>
        <v>78.787878787878782</v>
      </c>
      <c r="T79" s="89">
        <f t="shared" si="41"/>
        <v>54.54545454545454</v>
      </c>
      <c r="U79" s="89">
        <f t="shared" si="41"/>
        <v>42.424242424242422</v>
      </c>
      <c r="V79" s="89">
        <f t="shared" si="41"/>
        <v>36.363636363636367</v>
      </c>
      <c r="W79" s="89">
        <f t="shared" si="41"/>
        <v>27.27272727272727</v>
      </c>
      <c r="X79" s="89">
        <f t="shared" si="41"/>
        <v>15.151515151515152</v>
      </c>
      <c r="Y79" s="90">
        <f t="shared" si="41"/>
        <v>9.0909090909090917</v>
      </c>
      <c r="Z79" s="162">
        <f t="shared" si="41"/>
        <v>9.0909090909090917</v>
      </c>
      <c r="AA79" s="89">
        <f t="shared" si="41"/>
        <v>12.121212121212121</v>
      </c>
      <c r="AB79" s="158">
        <f t="shared" si="41"/>
        <v>3.0303030303030303</v>
      </c>
      <c r="AC79" s="89">
        <f t="shared" si="41"/>
        <v>3.0303030303030303</v>
      </c>
      <c r="AD79" s="90">
        <f t="shared" si="41"/>
        <v>27.27272727272727</v>
      </c>
      <c r="AE79" s="91">
        <f t="shared" si="41"/>
        <v>3.0303030303030303</v>
      </c>
    </row>
    <row r="80" spans="1:31" ht="13.5" customHeight="1" x14ac:dyDescent="0.2">
      <c r="A80" s="270"/>
      <c r="B80" s="114">
        <f t="shared" si="38"/>
        <v>35.714285714285715</v>
      </c>
      <c r="C80" s="125">
        <v>81.428571428571431</v>
      </c>
      <c r="D80" s="126">
        <v>58.571428571428577</v>
      </c>
      <c r="E80" s="126">
        <v>22.857142857142858</v>
      </c>
      <c r="F80" s="126">
        <v>22.857142857142858</v>
      </c>
      <c r="G80" s="126">
        <v>24.285714285714285</v>
      </c>
      <c r="H80" s="126">
        <v>12.857142857142856</v>
      </c>
      <c r="I80" s="126">
        <v>10</v>
      </c>
      <c r="J80" s="126">
        <v>5.7142857142857144</v>
      </c>
      <c r="K80" s="142">
        <v>2.8571428571428572</v>
      </c>
      <c r="L80" s="126">
        <v>2.8571428571428572</v>
      </c>
      <c r="M80" s="126">
        <v>1.4285714285714286</v>
      </c>
      <c r="N80" s="126">
        <v>12.857142857142856</v>
      </c>
      <c r="O80" s="127">
        <v>1.4285714285714286</v>
      </c>
      <c r="P80" s="128"/>
      <c r="R80" s="95" t="str">
        <f>A85</f>
        <v>東濃圏域(n = 50 )　　</v>
      </c>
      <c r="S80" s="88">
        <f t="shared" ref="S80:AE80" si="42">C86</f>
        <v>88</v>
      </c>
      <c r="T80" s="89">
        <f t="shared" si="42"/>
        <v>78</v>
      </c>
      <c r="U80" s="89">
        <f t="shared" si="42"/>
        <v>36</v>
      </c>
      <c r="V80" s="89">
        <f t="shared" si="42"/>
        <v>40</v>
      </c>
      <c r="W80" s="89">
        <f t="shared" si="42"/>
        <v>22</v>
      </c>
      <c r="X80" s="89">
        <f t="shared" si="42"/>
        <v>22</v>
      </c>
      <c r="Y80" s="90">
        <f t="shared" si="42"/>
        <v>8</v>
      </c>
      <c r="Z80" s="162">
        <f t="shared" si="42"/>
        <v>8</v>
      </c>
      <c r="AA80" s="89">
        <f t="shared" si="42"/>
        <v>2</v>
      </c>
      <c r="AB80" s="158">
        <f t="shared" si="42"/>
        <v>6</v>
      </c>
      <c r="AC80" s="89">
        <f t="shared" si="42"/>
        <v>2</v>
      </c>
      <c r="AD80" s="90">
        <f t="shared" si="42"/>
        <v>12</v>
      </c>
      <c r="AE80" s="91">
        <f t="shared" si="42"/>
        <v>0</v>
      </c>
    </row>
    <row r="81" spans="1:31" ht="13.5" customHeight="1" x14ac:dyDescent="0.2">
      <c r="A81" s="269" t="str">
        <f>A65</f>
        <v>西濃圏域(n = 26 )　　</v>
      </c>
      <c r="B81" s="113">
        <f t="shared" si="38"/>
        <v>26</v>
      </c>
      <c r="C81" s="129">
        <v>19</v>
      </c>
      <c r="D81" s="130">
        <v>12</v>
      </c>
      <c r="E81" s="130">
        <v>12</v>
      </c>
      <c r="F81" s="130">
        <v>8</v>
      </c>
      <c r="G81" s="130">
        <v>7</v>
      </c>
      <c r="H81" s="130">
        <v>5</v>
      </c>
      <c r="I81" s="130">
        <v>5</v>
      </c>
      <c r="J81" s="130">
        <v>2</v>
      </c>
      <c r="K81" s="141">
        <v>2</v>
      </c>
      <c r="L81" s="130">
        <v>1</v>
      </c>
      <c r="M81" s="130">
        <v>1</v>
      </c>
      <c r="N81" s="130">
        <v>5</v>
      </c>
      <c r="O81" s="140">
        <v>0</v>
      </c>
      <c r="P81" s="131"/>
      <c r="R81" s="94" t="str">
        <f>A87</f>
        <v>飛騨圏域(n = 17 )　　</v>
      </c>
      <c r="S81" s="78">
        <f t="shared" ref="S81:AE81" si="43">C88</f>
        <v>70.588235294117652</v>
      </c>
      <c r="T81" s="79">
        <f t="shared" si="43"/>
        <v>64.705882352941174</v>
      </c>
      <c r="U81" s="79">
        <f t="shared" si="43"/>
        <v>47.058823529411761</v>
      </c>
      <c r="V81" s="79">
        <f t="shared" si="43"/>
        <v>52.941176470588239</v>
      </c>
      <c r="W81" s="79">
        <f t="shared" si="43"/>
        <v>35.294117647058826</v>
      </c>
      <c r="X81" s="79">
        <f t="shared" si="43"/>
        <v>23.52941176470588</v>
      </c>
      <c r="Y81" s="80">
        <f t="shared" si="43"/>
        <v>11.76470588235294</v>
      </c>
      <c r="Z81" s="164">
        <f t="shared" si="43"/>
        <v>0</v>
      </c>
      <c r="AA81" s="79">
        <f t="shared" si="43"/>
        <v>5.8823529411764701</v>
      </c>
      <c r="AB81" s="160">
        <f t="shared" si="43"/>
        <v>0</v>
      </c>
      <c r="AC81" s="79">
        <f t="shared" si="43"/>
        <v>0</v>
      </c>
      <c r="AD81" s="80">
        <f t="shared" si="43"/>
        <v>29.411764705882355</v>
      </c>
      <c r="AE81" s="81">
        <f t="shared" si="43"/>
        <v>0</v>
      </c>
    </row>
    <row r="82" spans="1:31" x14ac:dyDescent="0.2">
      <c r="A82" s="270"/>
      <c r="B82" s="114">
        <f t="shared" si="38"/>
        <v>13.26530612244898</v>
      </c>
      <c r="C82" s="125">
        <v>73.076923076923066</v>
      </c>
      <c r="D82" s="126">
        <v>46.153846153846153</v>
      </c>
      <c r="E82" s="126">
        <v>46.153846153846153</v>
      </c>
      <c r="F82" s="126">
        <v>30.76923076923077</v>
      </c>
      <c r="G82" s="126">
        <v>26.923076923076923</v>
      </c>
      <c r="H82" s="126">
        <v>19.230769230769234</v>
      </c>
      <c r="I82" s="126">
        <v>19.230769230769234</v>
      </c>
      <c r="J82" s="126">
        <v>7.6923076923076925</v>
      </c>
      <c r="K82" s="142">
        <v>7.6923076923076925</v>
      </c>
      <c r="L82" s="126">
        <v>3.8461538461538463</v>
      </c>
      <c r="M82" s="126">
        <v>3.8461538461538463</v>
      </c>
      <c r="N82" s="126">
        <v>19.230769230769234</v>
      </c>
      <c r="O82" s="127">
        <v>0</v>
      </c>
      <c r="P82" s="128"/>
    </row>
    <row r="83" spans="1:31" x14ac:dyDescent="0.2">
      <c r="A83" s="269" t="str">
        <f>A67</f>
        <v>中濃圏域(n = 33 )　　</v>
      </c>
      <c r="B83" s="113">
        <f t="shared" si="38"/>
        <v>33</v>
      </c>
      <c r="C83" s="129">
        <v>26</v>
      </c>
      <c r="D83" s="130">
        <v>18</v>
      </c>
      <c r="E83" s="130">
        <v>14</v>
      </c>
      <c r="F83" s="130">
        <v>12</v>
      </c>
      <c r="G83" s="130">
        <v>9</v>
      </c>
      <c r="H83" s="130">
        <v>5</v>
      </c>
      <c r="I83" s="130">
        <v>3</v>
      </c>
      <c r="J83" s="130">
        <v>3</v>
      </c>
      <c r="K83" s="141">
        <v>4</v>
      </c>
      <c r="L83" s="130">
        <v>1</v>
      </c>
      <c r="M83" s="130">
        <v>1</v>
      </c>
      <c r="N83" s="130">
        <v>9</v>
      </c>
      <c r="O83" s="140">
        <v>1</v>
      </c>
      <c r="P83" s="131"/>
    </row>
    <row r="84" spans="1:31" x14ac:dyDescent="0.2">
      <c r="A84" s="270"/>
      <c r="B84" s="114">
        <f t="shared" si="38"/>
        <v>16.836734693877549</v>
      </c>
      <c r="C84" s="125">
        <v>78.787878787878782</v>
      </c>
      <c r="D84" s="126">
        <v>54.54545454545454</v>
      </c>
      <c r="E84" s="126">
        <v>42.424242424242422</v>
      </c>
      <c r="F84" s="126">
        <v>36.363636363636367</v>
      </c>
      <c r="G84" s="126">
        <v>27.27272727272727</v>
      </c>
      <c r="H84" s="126">
        <v>15.151515151515152</v>
      </c>
      <c r="I84" s="126">
        <v>9.0909090909090917</v>
      </c>
      <c r="J84" s="126">
        <v>9.0909090909090917</v>
      </c>
      <c r="K84" s="142">
        <v>12.121212121212121</v>
      </c>
      <c r="L84" s="126">
        <v>3.0303030303030303</v>
      </c>
      <c r="M84" s="126">
        <v>3.0303030303030303</v>
      </c>
      <c r="N84" s="126">
        <v>27.27272727272727</v>
      </c>
      <c r="O84" s="127">
        <v>3.0303030303030303</v>
      </c>
      <c r="P84" s="128"/>
    </row>
    <row r="85" spans="1:31" x14ac:dyDescent="0.2">
      <c r="A85" s="269" t="str">
        <f>A69</f>
        <v>東濃圏域(n = 50 )　　</v>
      </c>
      <c r="B85" s="113">
        <f t="shared" si="38"/>
        <v>50</v>
      </c>
      <c r="C85" s="129">
        <v>44</v>
      </c>
      <c r="D85" s="130">
        <v>39</v>
      </c>
      <c r="E85" s="130">
        <v>18</v>
      </c>
      <c r="F85" s="130">
        <v>20</v>
      </c>
      <c r="G85" s="130">
        <v>11</v>
      </c>
      <c r="H85" s="130">
        <v>11</v>
      </c>
      <c r="I85" s="130">
        <v>4</v>
      </c>
      <c r="J85" s="130">
        <v>4</v>
      </c>
      <c r="K85" s="141">
        <v>1</v>
      </c>
      <c r="L85" s="130">
        <v>3</v>
      </c>
      <c r="M85" s="130">
        <v>1</v>
      </c>
      <c r="N85" s="130">
        <v>6</v>
      </c>
      <c r="O85" s="140">
        <v>0</v>
      </c>
      <c r="P85" s="131"/>
    </row>
    <row r="86" spans="1:31" x14ac:dyDescent="0.2">
      <c r="A86" s="270"/>
      <c r="B86" s="114">
        <f t="shared" si="38"/>
        <v>25.510204081632654</v>
      </c>
      <c r="C86" s="125">
        <v>88</v>
      </c>
      <c r="D86" s="126">
        <v>78</v>
      </c>
      <c r="E86" s="126">
        <v>36</v>
      </c>
      <c r="F86" s="126">
        <v>40</v>
      </c>
      <c r="G86" s="126">
        <v>22</v>
      </c>
      <c r="H86" s="126">
        <v>22</v>
      </c>
      <c r="I86" s="126">
        <v>8</v>
      </c>
      <c r="J86" s="126">
        <v>8</v>
      </c>
      <c r="K86" s="142">
        <v>2</v>
      </c>
      <c r="L86" s="126">
        <v>6</v>
      </c>
      <c r="M86" s="126">
        <v>2</v>
      </c>
      <c r="N86" s="126">
        <v>12</v>
      </c>
      <c r="O86" s="127">
        <v>0</v>
      </c>
      <c r="P86" s="128"/>
    </row>
    <row r="87" spans="1:31" x14ac:dyDescent="0.2">
      <c r="A87" s="269" t="str">
        <f>A71</f>
        <v>飛騨圏域(n = 17 )　　</v>
      </c>
      <c r="B87" s="113">
        <f t="shared" si="38"/>
        <v>17</v>
      </c>
      <c r="C87" s="129">
        <v>12</v>
      </c>
      <c r="D87" s="130">
        <v>11</v>
      </c>
      <c r="E87" s="130">
        <v>8</v>
      </c>
      <c r="F87" s="130">
        <v>9</v>
      </c>
      <c r="G87" s="130">
        <v>6</v>
      </c>
      <c r="H87" s="130">
        <v>4</v>
      </c>
      <c r="I87" s="130">
        <v>2</v>
      </c>
      <c r="J87" s="130">
        <v>0</v>
      </c>
      <c r="K87" s="141">
        <v>1</v>
      </c>
      <c r="L87" s="130">
        <v>0</v>
      </c>
      <c r="M87" s="130">
        <v>0</v>
      </c>
      <c r="N87" s="130">
        <v>5</v>
      </c>
      <c r="O87" s="140">
        <v>0</v>
      </c>
      <c r="P87" s="131"/>
    </row>
    <row r="88" spans="1:31" x14ac:dyDescent="0.2">
      <c r="A88" s="270"/>
      <c r="B88" s="114">
        <f>B72</f>
        <v>8.6734693877551017</v>
      </c>
      <c r="C88" s="125">
        <v>70.588235294117652</v>
      </c>
      <c r="D88" s="126">
        <v>64.705882352941174</v>
      </c>
      <c r="E88" s="126">
        <v>47.058823529411761</v>
      </c>
      <c r="F88" s="126">
        <v>52.941176470588239</v>
      </c>
      <c r="G88" s="126">
        <v>35.294117647058826</v>
      </c>
      <c r="H88" s="126">
        <v>23.52941176470588</v>
      </c>
      <c r="I88" s="126">
        <v>11.76470588235294</v>
      </c>
      <c r="J88" s="126">
        <v>0</v>
      </c>
      <c r="K88" s="142">
        <v>5.8823529411764701</v>
      </c>
      <c r="L88" s="126">
        <v>0</v>
      </c>
      <c r="M88" s="126">
        <v>0</v>
      </c>
      <c r="N88" s="126">
        <v>29.411764705882355</v>
      </c>
      <c r="O88" s="127">
        <v>0</v>
      </c>
      <c r="P88" s="128"/>
    </row>
  </sheetData>
  <sortState columnSort="1" ref="C75:P76">
    <sortCondition ref="C75:P75"/>
  </sortState>
  <mergeCells count="34">
    <mergeCell ref="A34:A35"/>
    <mergeCell ref="A3:A4"/>
    <mergeCell ref="A5:A6"/>
    <mergeCell ref="A7:A8"/>
    <mergeCell ref="A13:A14"/>
    <mergeCell ref="A15:A16"/>
    <mergeCell ref="A17:A18"/>
    <mergeCell ref="A22:A23"/>
    <mergeCell ref="A26:A27"/>
    <mergeCell ref="A28:A29"/>
    <mergeCell ref="A30:A31"/>
    <mergeCell ref="A32:A33"/>
    <mergeCell ref="A24:A25"/>
    <mergeCell ref="A67:A68"/>
    <mergeCell ref="A36:A37"/>
    <mergeCell ref="A42:A43"/>
    <mergeCell ref="A46:A47"/>
    <mergeCell ref="A48:A49"/>
    <mergeCell ref="A50:A51"/>
    <mergeCell ref="A52:A53"/>
    <mergeCell ref="A54:A55"/>
    <mergeCell ref="A56:A57"/>
    <mergeCell ref="A61:A62"/>
    <mergeCell ref="A63:A64"/>
    <mergeCell ref="A65:A66"/>
    <mergeCell ref="A44:A45"/>
    <mergeCell ref="A85:A86"/>
    <mergeCell ref="A87:A88"/>
    <mergeCell ref="A69:A70"/>
    <mergeCell ref="A71:A72"/>
    <mergeCell ref="A77:A78"/>
    <mergeCell ref="A79:A80"/>
    <mergeCell ref="A81:A82"/>
    <mergeCell ref="A83:A8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問1S（表）</vt:lpstr>
      <vt:lpstr>問1-2M（表）</vt:lpstr>
      <vt:lpstr>問2S（表）</vt:lpstr>
      <vt:lpstr>問3M（表）</vt:lpstr>
      <vt:lpstr>問4M（表）</vt:lpstr>
      <vt:lpstr>問5M（表）</vt:lpstr>
      <vt:lpstr>問6S（表）</vt:lpstr>
      <vt:lpstr>問6-2M（表）</vt:lpstr>
      <vt:lpstr>問6-3M（表）</vt:lpstr>
      <vt:lpstr>問7S（表）</vt:lpstr>
      <vt:lpstr>問8M（表）</vt:lpstr>
      <vt:lpstr>問9S（表）</vt:lpstr>
      <vt:lpstr>問9-2S（表）</vt:lpstr>
      <vt:lpstr>問10-1M（表）</vt:lpstr>
      <vt:lpstr>問10-2M（表）</vt:lpstr>
      <vt:lpstr>問11-1M（表）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貴俊</dc:creator>
  <cp:lastModifiedBy>Gifu</cp:lastModifiedBy>
  <cp:lastPrinted>2021-10-20T08:51:44Z</cp:lastPrinted>
  <dcterms:created xsi:type="dcterms:W3CDTF">2008-11-21T00:20:00Z</dcterms:created>
  <dcterms:modified xsi:type="dcterms:W3CDTF">2023-07-28T07:23:16Z</dcterms:modified>
</cp:coreProperties>
</file>