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4\照会回答\10月\オープンデータ\航空センター\"/>
    </mc:Choice>
  </mc:AlternateContent>
  <bookViews>
    <workbookView xWindow="0" yWindow="0" windowWidth="20490" windowHeight="7680"/>
  </bookViews>
  <sheets>
    <sheet name="地域別" sheetId="1" r:id="rId1"/>
  </sheets>
  <definedNames>
    <definedName name="_xlnm.Print_Area" localSheetId="0">地域別!$A$16:$V$27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7" i="1" l="1"/>
  <c r="R11" i="1"/>
  <c r="R12" i="1" s="1"/>
  <c r="Q11" i="1"/>
  <c r="L11" i="1"/>
  <c r="L12" i="1" s="1"/>
  <c r="I11" i="1"/>
  <c r="I12" i="1" s="1"/>
  <c r="E11" i="1"/>
  <c r="U10" i="1"/>
  <c r="S10" i="1"/>
  <c r="Q10" i="1"/>
  <c r="P10" i="1"/>
  <c r="O10" i="1"/>
  <c r="T10" i="1" s="1"/>
  <c r="L10" i="1"/>
  <c r="K10" i="1" s="1"/>
  <c r="J10" i="1"/>
  <c r="I10" i="1"/>
  <c r="H10" i="1"/>
  <c r="G10" i="1"/>
  <c r="F10" i="1"/>
  <c r="E10" i="1"/>
  <c r="D10" i="1"/>
  <c r="N10" i="1" s="1"/>
  <c r="V10" i="1" s="1"/>
  <c r="U9" i="1"/>
  <c r="S9" i="1"/>
  <c r="Q9" i="1"/>
  <c r="P9" i="1"/>
  <c r="O9" i="1"/>
  <c r="T9" i="1" s="1"/>
  <c r="N9" i="1"/>
  <c r="V9" i="1" s="1"/>
  <c r="L9" i="1"/>
  <c r="M9" i="1" s="1"/>
  <c r="I9" i="1"/>
  <c r="J9" i="1" s="1"/>
  <c r="G9" i="1"/>
  <c r="F9" i="1"/>
  <c r="E9" i="1"/>
  <c r="D9" i="1"/>
  <c r="U8" i="1"/>
  <c r="T8" i="1"/>
  <c r="S8" i="1"/>
  <c r="Q8" i="1"/>
  <c r="P8" i="1"/>
  <c r="O8" i="1"/>
  <c r="L8" i="1"/>
  <c r="M8" i="1" s="1"/>
  <c r="K8" i="1"/>
  <c r="I8" i="1"/>
  <c r="J8" i="1" s="1"/>
  <c r="H8" i="1"/>
  <c r="G8" i="1"/>
  <c r="F8" i="1"/>
  <c r="E8" i="1"/>
  <c r="D8" i="1"/>
  <c r="N8" i="1" s="1"/>
  <c r="V8" i="1" s="1"/>
  <c r="U7" i="1"/>
  <c r="T7" i="1"/>
  <c r="S7" i="1"/>
  <c r="Q7" i="1"/>
  <c r="P7" i="1"/>
  <c r="O7" i="1"/>
  <c r="N7" i="1"/>
  <c r="V7" i="1" s="1"/>
  <c r="M7" i="1"/>
  <c r="L7" i="1"/>
  <c r="K7" i="1"/>
  <c r="J7" i="1"/>
  <c r="I7" i="1"/>
  <c r="H7" i="1"/>
  <c r="G7" i="1"/>
  <c r="F7" i="1"/>
  <c r="E7" i="1"/>
  <c r="D7" i="1"/>
  <c r="U6" i="1"/>
  <c r="S6" i="1"/>
  <c r="Q6" i="1"/>
  <c r="P6" i="1"/>
  <c r="O6" i="1"/>
  <c r="T6" i="1" s="1"/>
  <c r="L6" i="1"/>
  <c r="K6" i="1" s="1"/>
  <c r="J6" i="1"/>
  <c r="I6" i="1"/>
  <c r="H6" i="1"/>
  <c r="G6" i="1"/>
  <c r="F6" i="1"/>
  <c r="E6" i="1"/>
  <c r="D6" i="1"/>
  <c r="N6" i="1" s="1"/>
  <c r="V6" i="1" s="1"/>
  <c r="U5" i="1"/>
  <c r="U11" i="1" s="1"/>
  <c r="S5" i="1"/>
  <c r="S11" i="1" s="1"/>
  <c r="Q5" i="1"/>
  <c r="Q12" i="1" s="1"/>
  <c r="P5" i="1"/>
  <c r="P11" i="1" s="1"/>
  <c r="O5" i="1"/>
  <c r="O12" i="1" s="1"/>
  <c r="T12" i="1" s="1"/>
  <c r="N5" i="1"/>
  <c r="L5" i="1"/>
  <c r="M5" i="1" s="1"/>
  <c r="I5" i="1"/>
  <c r="J5" i="1" s="1"/>
  <c r="G5" i="1"/>
  <c r="G11" i="1" s="1"/>
  <c r="F5" i="1"/>
  <c r="F11" i="1" s="1"/>
  <c r="E5" i="1"/>
  <c r="E12" i="1" s="1"/>
  <c r="D5" i="1"/>
  <c r="D11" i="1" s="1"/>
  <c r="N11" i="1" s="1"/>
  <c r="M10" i="1" l="1"/>
  <c r="O11" i="1"/>
  <c r="T11" i="1" s="1"/>
  <c r="V11" i="1" s="1"/>
  <c r="D12" i="1"/>
  <c r="N12" i="1" s="1"/>
  <c r="P12" i="1"/>
  <c r="M6" i="1"/>
  <c r="H5" i="1"/>
  <c r="H9" i="1"/>
  <c r="F12" i="1"/>
  <c r="G12" i="1"/>
  <c r="S12" i="1"/>
  <c r="K5" i="1"/>
  <c r="T5" i="1"/>
  <c r="V5" i="1" s="1"/>
  <c r="K9" i="1"/>
  <c r="U12" i="1"/>
  <c r="V12" i="1" l="1"/>
</calcChain>
</file>

<file path=xl/sharedStrings.xml><?xml version="1.0" encoding="utf-8"?>
<sst xmlns="http://schemas.openxmlformats.org/spreadsheetml/2006/main" count="56" uniqueCount="30">
  <si>
    <t>地域別活動件数</t>
    <phoneticPr fontId="1"/>
  </si>
  <si>
    <t>緊　　　　急　　　　運　　　　航</t>
    <rPh sb="0" eb="1">
      <t>ミシト</t>
    </rPh>
    <rPh sb="5" eb="6">
      <t>キュウ</t>
    </rPh>
    <rPh sb="10" eb="11">
      <t>ウン</t>
    </rPh>
    <rPh sb="15" eb="16">
      <t>コウ</t>
    </rPh>
    <phoneticPr fontId="5"/>
  </si>
  <si>
    <t>通　　　　常　　　　運　　　　航</t>
    <rPh sb="0" eb="1">
      <t>ツウ</t>
    </rPh>
    <rPh sb="5" eb="6">
      <t>ツネ</t>
    </rPh>
    <rPh sb="10" eb="11">
      <t>ウン</t>
    </rPh>
    <rPh sb="15" eb="16">
      <t>コウ</t>
    </rPh>
    <phoneticPr fontId="5"/>
  </si>
  <si>
    <t>　その他（整備・試験等）</t>
    <rPh sb="3" eb="4">
      <t>タ</t>
    </rPh>
    <rPh sb="5" eb="7">
      <t>セイビ</t>
    </rPh>
    <rPh sb="8" eb="11">
      <t>シケントウ</t>
    </rPh>
    <phoneticPr fontId="5"/>
  </si>
  <si>
    <t>　合　　　計</t>
    <rPh sb="1" eb="2">
      <t>ゴウ</t>
    </rPh>
    <rPh sb="5" eb="6">
      <t>ケイ</t>
    </rPh>
    <phoneticPr fontId="5"/>
  </si>
  <si>
    <t>区　　　　　分</t>
    <rPh sb="0" eb="1">
      <t>ク</t>
    </rPh>
    <rPh sb="6" eb="7">
      <t>ブン</t>
    </rPh>
    <phoneticPr fontId="5"/>
  </si>
  <si>
    <t>　火災防ぎょ活動</t>
    <rPh sb="1" eb="3">
      <t>カサイ</t>
    </rPh>
    <rPh sb="3" eb="4">
      <t>フセ</t>
    </rPh>
    <rPh sb="6" eb="8">
      <t>カツドウ</t>
    </rPh>
    <phoneticPr fontId="5"/>
  </si>
  <si>
    <t>　捜索救助活動</t>
    <rPh sb="1" eb="3">
      <t>ソウサク</t>
    </rPh>
    <rPh sb="3" eb="5">
      <t>キュウジョ</t>
    </rPh>
    <rPh sb="5" eb="7">
      <t>カツドウ</t>
    </rPh>
    <phoneticPr fontId="5"/>
  </si>
  <si>
    <t>　救急搬送活動</t>
    <rPh sb="1" eb="3">
      <t>キュウキュウ</t>
    </rPh>
    <rPh sb="3" eb="5">
      <t>ハンソウ</t>
    </rPh>
    <rPh sb="5" eb="7">
      <t>カツドウ</t>
    </rPh>
    <phoneticPr fontId="5"/>
  </si>
  <si>
    <t>　災害応急対策活動</t>
    <rPh sb="1" eb="3">
      <t>サイガイ</t>
    </rPh>
    <rPh sb="3" eb="5">
      <t>オウキュウ</t>
    </rPh>
    <rPh sb="5" eb="7">
      <t>タイサク</t>
    </rPh>
    <rPh sb="7" eb="9">
      <t>カツドウ</t>
    </rPh>
    <phoneticPr fontId="5"/>
  </si>
  <si>
    <t>　広域航空消防応援</t>
    <rPh sb="1" eb="3">
      <t>コウイキ</t>
    </rPh>
    <rPh sb="3" eb="5">
      <t>コウクウ</t>
    </rPh>
    <rPh sb="5" eb="7">
      <t>ショウボウ</t>
    </rPh>
    <rPh sb="7" eb="9">
      <t>オウエン</t>
    </rPh>
    <phoneticPr fontId="5"/>
  </si>
  <si>
    <t>　航空消防防災相互応援</t>
    <rPh sb="1" eb="3">
      <t>コウクウ</t>
    </rPh>
    <rPh sb="3" eb="5">
      <t>ショウボウ</t>
    </rPh>
    <rPh sb="5" eb="7">
      <t>ボウサイ</t>
    </rPh>
    <rPh sb="7" eb="9">
      <t>ソウゴ</t>
    </rPh>
    <rPh sb="9" eb="11">
      <t>オウエン</t>
    </rPh>
    <phoneticPr fontId="5"/>
  </si>
  <si>
    <t>　緊急運航　小　　計</t>
    <rPh sb="1" eb="3">
      <t>キンキュウ</t>
    </rPh>
    <rPh sb="3" eb="5">
      <t>ウンコウ</t>
    </rPh>
    <rPh sb="6" eb="7">
      <t>ショウ</t>
    </rPh>
    <rPh sb="9" eb="10">
      <t>ケイ</t>
    </rPh>
    <phoneticPr fontId="5"/>
  </si>
  <si>
    <t>　自隊訓練</t>
    <rPh sb="1" eb="3">
      <t>ジタイ</t>
    </rPh>
    <rPh sb="3" eb="5">
      <t>クンレン</t>
    </rPh>
    <phoneticPr fontId="5"/>
  </si>
  <si>
    <t>　市町村等参加訓練</t>
    <rPh sb="1" eb="4">
      <t>シチョウソン</t>
    </rPh>
    <rPh sb="4" eb="5">
      <t>トウ</t>
    </rPh>
    <rPh sb="5" eb="7">
      <t>サンカ</t>
    </rPh>
    <rPh sb="7" eb="9">
      <t>クンレン</t>
    </rPh>
    <phoneticPr fontId="5"/>
  </si>
  <si>
    <t>　災害予防活動</t>
    <rPh sb="1" eb="3">
      <t>サイガイ</t>
    </rPh>
    <rPh sb="3" eb="5">
      <t>ヨボウ</t>
    </rPh>
    <rPh sb="5" eb="7">
      <t>カツドウ</t>
    </rPh>
    <phoneticPr fontId="5"/>
  </si>
  <si>
    <t>　県外防災訓練参加</t>
    <rPh sb="1" eb="3">
      <t>ケンガイ</t>
    </rPh>
    <rPh sb="3" eb="5">
      <t>ボウサイ</t>
    </rPh>
    <rPh sb="5" eb="7">
      <t>クンレン</t>
    </rPh>
    <rPh sb="7" eb="9">
      <t>サンカ</t>
    </rPh>
    <phoneticPr fontId="5"/>
  </si>
  <si>
    <t>　行政利用</t>
    <rPh sb="1" eb="3">
      <t>ギョウセイ</t>
    </rPh>
    <rPh sb="3" eb="5">
      <t>リヨウ</t>
    </rPh>
    <phoneticPr fontId="5"/>
  </si>
  <si>
    <t>　通常運航　小　　計</t>
    <rPh sb="1" eb="3">
      <t>ツウジョウ</t>
    </rPh>
    <rPh sb="3" eb="5">
      <t>ウンコウ</t>
    </rPh>
    <rPh sb="6" eb="7">
      <t>ショウ</t>
    </rPh>
    <rPh sb="9" eb="10">
      <t>ケイ</t>
    </rPh>
    <phoneticPr fontId="5"/>
  </si>
  <si>
    <t>岐阜地域</t>
    <rPh sb="0" eb="2">
      <t>ギフ</t>
    </rPh>
    <rPh sb="2" eb="4">
      <t>チイキ</t>
    </rPh>
    <phoneticPr fontId="5"/>
  </si>
  <si>
    <t>西濃地域</t>
    <rPh sb="0" eb="2">
      <t>セイノウ</t>
    </rPh>
    <rPh sb="2" eb="4">
      <t>チイキ</t>
    </rPh>
    <phoneticPr fontId="5"/>
  </si>
  <si>
    <t>中濃地域</t>
    <rPh sb="0" eb="2">
      <t>チュウノウ</t>
    </rPh>
    <rPh sb="2" eb="4">
      <t>チイキ</t>
    </rPh>
    <phoneticPr fontId="5"/>
  </si>
  <si>
    <t>東濃地域</t>
    <rPh sb="0" eb="2">
      <t>トウノウ</t>
    </rPh>
    <rPh sb="2" eb="4">
      <t>チイキ</t>
    </rPh>
    <phoneticPr fontId="5"/>
  </si>
  <si>
    <t>飛騨地域</t>
    <rPh sb="0" eb="2">
      <t>ヒダ</t>
    </rPh>
    <rPh sb="2" eb="4">
      <t>チイキ</t>
    </rPh>
    <phoneticPr fontId="5"/>
  </si>
  <si>
    <t>県内全域</t>
    <rPh sb="0" eb="2">
      <t>ケンナイ</t>
    </rPh>
    <rPh sb="2" eb="4">
      <t>ゼンイキ</t>
    </rPh>
    <phoneticPr fontId="5"/>
  </si>
  <si>
    <t>県   外</t>
    <rPh sb="0" eb="1">
      <t>ケン</t>
    </rPh>
    <rPh sb="4" eb="5">
      <t>ガイ</t>
    </rPh>
    <phoneticPr fontId="5"/>
  </si>
  <si>
    <t>合   計</t>
    <rPh sb="0" eb="1">
      <t>ゴウ</t>
    </rPh>
    <rPh sb="4" eb="5">
      <t>ケイ</t>
    </rPh>
    <phoneticPr fontId="5"/>
  </si>
  <si>
    <t>※（　）内は他県・市消防防災航空隊の受援件数を表す。</t>
    <rPh sb="4" eb="5">
      <t>ナイ</t>
    </rPh>
    <rPh sb="6" eb="7">
      <t>タ</t>
    </rPh>
    <rPh sb="7" eb="8">
      <t>ケン</t>
    </rPh>
    <rPh sb="9" eb="10">
      <t>シ</t>
    </rPh>
    <rPh sb="10" eb="12">
      <t>ショウボウ</t>
    </rPh>
    <rPh sb="12" eb="14">
      <t>ボウサイ</t>
    </rPh>
    <rPh sb="14" eb="17">
      <t>コウクウタイ</t>
    </rPh>
    <rPh sb="18" eb="19">
      <t>ジュ</t>
    </rPh>
    <rPh sb="19" eb="20">
      <t>エン</t>
    </rPh>
    <rPh sb="20" eb="22">
      <t>ケンスウ</t>
    </rPh>
    <rPh sb="23" eb="24">
      <t>アラワ</t>
    </rPh>
    <phoneticPr fontId="1"/>
  </si>
  <si>
    <t>（５）地域別活動件数</t>
    <phoneticPr fontId="1"/>
  </si>
  <si>
    <t>令和3年度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</si>
</sst>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&quot;年度&quot;"/>
    <numFmt numFmtId="177" formatCode="[DBNum3][$-411]0"/>
  </numFmts>
  <fonts count="7" x14ac:knownFonts="1">
    <font>
      <sz val="11"/>
      <color theme="1"/>
      <name val="游ゴシック"/>
      <family val="1"/>
      <charset val="128"/>
      <scheme val="minor"/>
    </font>
    <font>
      <sz val="6"/>
      <name val="游ゴシック"/>
      <family val="1"/>
      <charset val="128"/>
      <scheme val="minor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textRotation="255"/>
    </xf>
    <xf numFmtId="0" fontId="3" fillId="0" borderId="5" xfId="0" applyFont="1" applyBorder="1" applyAlignment="1">
      <alignment vertical="center" textRotation="255"/>
    </xf>
    <xf numFmtId="0" fontId="3" fillId="0" borderId="6" xfId="0" applyFont="1" applyBorder="1" applyAlignment="1">
      <alignment vertical="top" textRotation="255"/>
    </xf>
    <xf numFmtId="0" fontId="3" fillId="0" borderId="7" xfId="0" applyFont="1" applyBorder="1" applyAlignment="1">
      <alignment vertical="top" textRotation="255"/>
    </xf>
    <xf numFmtId="0" fontId="3" fillId="0" borderId="8" xfId="0" applyFont="1" applyBorder="1" applyAlignment="1">
      <alignment vertical="top" textRotation="255"/>
    </xf>
    <xf numFmtId="0" fontId="3" fillId="0" borderId="9" xfId="0" applyFont="1" applyBorder="1" applyAlignment="1">
      <alignment vertical="top" textRotation="255"/>
    </xf>
    <xf numFmtId="0" fontId="3" fillId="0" borderId="0" xfId="0" applyFont="1" applyBorder="1" applyAlignment="1">
      <alignment vertical="top" textRotation="255"/>
    </xf>
    <xf numFmtId="0" fontId="3" fillId="0" borderId="4" xfId="0" applyFont="1" applyBorder="1" applyAlignment="1">
      <alignment vertical="top" textRotation="255"/>
    </xf>
    <xf numFmtId="0" fontId="3" fillId="0" borderId="10" xfId="0" applyFont="1" applyBorder="1" applyAlignment="1">
      <alignment vertical="top" textRotation="255"/>
    </xf>
    <xf numFmtId="0" fontId="3" fillId="0" borderId="11" xfId="0" applyFont="1" applyBorder="1" applyAlignment="1">
      <alignment horizontal="center" vertical="top" textRotation="255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77" fontId="0" fillId="0" borderId="0" xfId="0" applyNumberFormat="1" applyFont="1" applyAlignment="1">
      <alignment horizontal="center" vertical="center" textRotation="180"/>
    </xf>
    <xf numFmtId="0" fontId="2" fillId="0" borderId="5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7"/>
  <sheetViews>
    <sheetView showZeros="0" tabSelected="1" view="pageBreakPreview" zoomScaleSheetLayoutView="100" workbookViewId="0">
      <selection activeCell="U20" sqref="U20"/>
    </sheetView>
  </sheetViews>
  <sheetFormatPr defaultRowHeight="119.25" customHeight="1" x14ac:dyDescent="0.4"/>
  <cols>
    <col min="1" max="1" width="3.125" customWidth="1"/>
    <col min="2" max="2" width="1.75" customWidth="1"/>
    <col min="3" max="3" width="11.75" customWidth="1"/>
    <col min="4" max="7" width="8.125" customWidth="1"/>
    <col min="8" max="8" width="2.125" customWidth="1"/>
    <col min="9" max="9" width="4.25" customWidth="1"/>
    <col min="10" max="11" width="2.125" customWidth="1"/>
    <col min="12" max="12" width="4.25" customWidth="1"/>
    <col min="13" max="13" width="2.125" customWidth="1"/>
    <col min="14" max="22" width="8.125" customWidth="1"/>
  </cols>
  <sheetData>
    <row r="1" spans="1:22" ht="9.9499999999999993" customHeight="1" x14ac:dyDescent="0.4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.9499999999999993" customHeight="1" x14ac:dyDescent="0.1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9.9499999999999993" customHeight="1" x14ac:dyDescent="0.4">
      <c r="C3" s="3">
        <v>3</v>
      </c>
      <c r="D3" s="4" t="s">
        <v>1</v>
      </c>
      <c r="E3" s="5"/>
      <c r="F3" s="5"/>
      <c r="G3" s="5"/>
      <c r="H3" s="5"/>
      <c r="I3" s="5"/>
      <c r="J3" s="5"/>
      <c r="K3" s="5"/>
      <c r="L3" s="5"/>
      <c r="M3" s="5"/>
      <c r="N3" s="6"/>
      <c r="O3" s="4" t="s">
        <v>2</v>
      </c>
      <c r="P3" s="5"/>
      <c r="Q3" s="5"/>
      <c r="R3" s="5"/>
      <c r="S3" s="5"/>
      <c r="T3" s="6"/>
      <c r="U3" s="7" t="s">
        <v>3</v>
      </c>
      <c r="V3" s="7" t="s">
        <v>4</v>
      </c>
    </row>
    <row r="4" spans="1:22" ht="9.9499999999999993" customHeight="1" x14ac:dyDescent="0.4">
      <c r="C4" s="8" t="s">
        <v>5</v>
      </c>
      <c r="D4" s="9" t="s">
        <v>6</v>
      </c>
      <c r="E4" s="10" t="s">
        <v>7</v>
      </c>
      <c r="F4" s="10" t="s">
        <v>8</v>
      </c>
      <c r="G4" s="10" t="s">
        <v>9</v>
      </c>
      <c r="H4" s="11"/>
      <c r="I4" s="12" t="s">
        <v>10</v>
      </c>
      <c r="J4" s="13"/>
      <c r="K4" s="11"/>
      <c r="L4" s="12" t="s">
        <v>11</v>
      </c>
      <c r="M4" s="13"/>
      <c r="N4" s="14" t="s">
        <v>12</v>
      </c>
      <c r="O4" s="15" t="s">
        <v>13</v>
      </c>
      <c r="P4" s="10" t="s">
        <v>14</v>
      </c>
      <c r="Q4" s="10" t="s">
        <v>15</v>
      </c>
      <c r="R4" s="10" t="s">
        <v>16</v>
      </c>
      <c r="S4" s="11" t="s">
        <v>17</v>
      </c>
      <c r="T4" s="14" t="s">
        <v>18</v>
      </c>
      <c r="U4" s="16"/>
      <c r="V4" s="16"/>
    </row>
    <row r="5" spans="1:22" ht="9.9499999999999993" customHeight="1" x14ac:dyDescent="0.4">
      <c r="C5" s="17" t="s">
        <v>19</v>
      </c>
      <c r="D5" s="18" t="e">
        <f>COUNTIFS(#REF!,$C$3,#REF!,"岐阜",#REF!,"火災防御活動")</f>
        <v>#REF!</v>
      </c>
      <c r="E5" s="19" t="e">
        <f>COUNTIFS(#REF!,$C$3,#REF!,"岐阜",#REF!,"捜索救助活動")</f>
        <v>#REF!</v>
      </c>
      <c r="F5" s="19" t="e">
        <f>COUNTIFS(#REF!,$C$3,#REF!,"岐阜",#REF!,"救急搬送活動")</f>
        <v>#REF!</v>
      </c>
      <c r="G5" s="19" t="e">
        <f>COUNTIFS(#REF!,$C$3,#REF!,"岐阜",#REF!,"災害応急対策活動")</f>
        <v>#REF!</v>
      </c>
      <c r="H5" s="20" t="e">
        <f t="shared" ref="H5:H10" si="0">IF(I5=0,"","(")</f>
        <v>#REF!</v>
      </c>
      <c r="I5" s="21" t="e">
        <f>COUNTIFS(#REF!,$C$3,#REF!,"受援",#REF!,"広域航空消防応援",#REF!,"岐阜")</f>
        <v>#REF!</v>
      </c>
      <c r="J5" s="22" t="e">
        <f t="shared" ref="J5:J10" si="1">IF(I5=0,"",")")</f>
        <v>#REF!</v>
      </c>
      <c r="K5" s="23" t="e">
        <f t="shared" ref="K5:K10" si="2">IF(L5=0,"","(")</f>
        <v>#REF!</v>
      </c>
      <c r="L5" s="21" t="e">
        <f>COUNTIFS(#REF!,$C$3,#REF!,"受援",#REF!,"航空消防防災相互応援",#REF!,"岐阜")</f>
        <v>#REF!</v>
      </c>
      <c r="M5" s="24" t="e">
        <f t="shared" ref="M5:M10" si="3">IF(L5=0,"",")")</f>
        <v>#REF!</v>
      </c>
      <c r="N5" s="25" t="e">
        <f t="shared" ref="N5:N10" si="4">SUM(D5:G5)</f>
        <v>#REF!</v>
      </c>
      <c r="O5" s="26" t="e">
        <f>COUNTIFS(#REF!,$C$3,#REF!,"自隊訓練",#REF!,"岐阜")</f>
        <v>#REF!</v>
      </c>
      <c r="P5" s="19" t="e">
        <f>COUNTIFS(#REF!,$C$3,#REF!,"市町村等参加訓練",#REF!,"岐阜")</f>
        <v>#REF!</v>
      </c>
      <c r="Q5" s="27" t="e">
        <f>COUNTIFS(#REF!,$C$3,#REF!,"災害予防活動",#REF!,"岐阜")</f>
        <v>#REF!</v>
      </c>
      <c r="R5" s="28"/>
      <c r="S5" s="29" t="e">
        <f>COUNTIFS(#REF!,$C$3,#REF!,"行政利用",#REF!,"岐阜")</f>
        <v>#REF!</v>
      </c>
      <c r="T5" s="25" t="e">
        <f t="shared" ref="T5:T11" si="5">SUM(O5:S5)</f>
        <v>#REF!</v>
      </c>
      <c r="U5" s="30" t="e">
        <f>COUNTIFS(#REF!,$C$3,#REF!,"その他",#REF!,"岐阜")</f>
        <v>#REF!</v>
      </c>
      <c r="V5" s="31" t="e">
        <f>N5+T5+U5</f>
        <v>#REF!</v>
      </c>
    </row>
    <row r="6" spans="1:22" ht="9.9499999999999993" customHeight="1" x14ac:dyDescent="0.4">
      <c r="C6" s="32" t="s">
        <v>20</v>
      </c>
      <c r="D6" s="33" t="e">
        <f>COUNTIFS(#REF!,$C$3,#REF!,"西濃",#REF!,"火災防御活動")</f>
        <v>#REF!</v>
      </c>
      <c r="E6" s="34" t="e">
        <f>COUNTIFS(#REF!,$C$3,#REF!,"西濃",#REF!,"捜索救助活動")</f>
        <v>#REF!</v>
      </c>
      <c r="F6" s="34" t="e">
        <f>COUNTIFS(#REF!,$C$3,#REF!,"西濃",#REF!,"救急搬送活動")</f>
        <v>#REF!</v>
      </c>
      <c r="G6" s="34" t="e">
        <f>COUNTIFS(#REF!,$C$3,#REF!,"西濃",#REF!,"災害応急対策活動")</f>
        <v>#REF!</v>
      </c>
      <c r="H6" s="35" t="e">
        <f t="shared" si="0"/>
        <v>#REF!</v>
      </c>
      <c r="I6" s="36" t="e">
        <f>COUNTIFS(#REF!,$C$3,#REF!,"受援",#REF!,"広域航空消防応援",#REF!,"西濃")</f>
        <v>#REF!</v>
      </c>
      <c r="J6" s="37" t="e">
        <f t="shared" si="1"/>
        <v>#REF!</v>
      </c>
      <c r="K6" s="38" t="e">
        <f t="shared" si="2"/>
        <v>#REF!</v>
      </c>
      <c r="L6" s="36" t="e">
        <f>COUNTIFS(#REF!,$C$3,#REF!,"受援",#REF!,"航空消防防災相互応援",#REF!,"西濃")</f>
        <v>#REF!</v>
      </c>
      <c r="M6" s="39" t="e">
        <f t="shared" si="3"/>
        <v>#REF!</v>
      </c>
      <c r="N6" s="40" t="e">
        <f t="shared" si="4"/>
        <v>#REF!</v>
      </c>
      <c r="O6" s="41" t="e">
        <f>COUNTIFS(#REF!,$C$3,#REF!,"自隊訓練",#REF!,"西濃")</f>
        <v>#REF!</v>
      </c>
      <c r="P6" s="34" t="e">
        <f>COUNTIFS(#REF!,$C$3,#REF!,"市町村等参加訓練",#REF!,"西濃")</f>
        <v>#REF!</v>
      </c>
      <c r="Q6" s="42" t="e">
        <f>COUNTIFS(#REF!,$C$3,#REF!,"災害予防活動",#REF!,"西濃")</f>
        <v>#REF!</v>
      </c>
      <c r="R6" s="43"/>
      <c r="S6" s="44" t="e">
        <f>COUNTIFS(#REF!,$C$3,#REF!,"行政利用",#REF!,"西濃")</f>
        <v>#REF!</v>
      </c>
      <c r="T6" s="40" t="e">
        <f t="shared" si="5"/>
        <v>#REF!</v>
      </c>
      <c r="U6" s="40" t="e">
        <f>COUNTIFS(#REF!,$C$3,#REF!,"その他",#REF!,"西濃")</f>
        <v>#REF!</v>
      </c>
      <c r="V6" s="45" t="e">
        <f t="shared" ref="V6:V11" si="6">N6+T6+U6</f>
        <v>#REF!</v>
      </c>
    </row>
    <row r="7" spans="1:22" ht="9.9499999999999993" customHeight="1" x14ac:dyDescent="0.4">
      <c r="C7" s="32" t="s">
        <v>21</v>
      </c>
      <c r="D7" s="33" t="e">
        <f>COUNTIFS(#REF!,$C$3,#REF!,"中濃",#REF!,"火災防御活動")</f>
        <v>#REF!</v>
      </c>
      <c r="E7" s="34" t="e">
        <f>COUNTIFS(#REF!,$C$3,#REF!,"中濃",#REF!,"捜索救助活動")</f>
        <v>#REF!</v>
      </c>
      <c r="F7" s="34" t="e">
        <f>COUNTIFS(#REF!,$C$3,#REF!,"中濃",#REF!,"救急搬送活動")</f>
        <v>#REF!</v>
      </c>
      <c r="G7" s="34" t="e">
        <f>COUNTIFS(#REF!,$C$3,#REF!,"中濃",#REF!,"災害応急対策活動")</f>
        <v>#REF!</v>
      </c>
      <c r="H7" s="35" t="e">
        <f t="shared" si="0"/>
        <v>#REF!</v>
      </c>
      <c r="I7" s="36" t="e">
        <f>COUNTIFS(#REF!,$C$3,#REF!,"受援",#REF!,"広域航空消防応援",#REF!,"中濃")</f>
        <v>#REF!</v>
      </c>
      <c r="J7" s="37" t="e">
        <f t="shared" si="1"/>
        <v>#REF!</v>
      </c>
      <c r="K7" s="38" t="e">
        <f t="shared" si="2"/>
        <v>#REF!</v>
      </c>
      <c r="L7" s="36" t="e">
        <f>COUNTIFS(#REF!,$C$3,#REF!,"受援",#REF!,"航空消防防災相互応援",#REF!,"中濃")</f>
        <v>#REF!</v>
      </c>
      <c r="M7" s="39" t="e">
        <f t="shared" si="3"/>
        <v>#REF!</v>
      </c>
      <c r="N7" s="40" t="e">
        <f t="shared" si="4"/>
        <v>#REF!</v>
      </c>
      <c r="O7" s="41" t="e">
        <f>COUNTIFS(#REF!,$C$3,#REF!,"自隊訓練",#REF!,"中濃")</f>
        <v>#REF!</v>
      </c>
      <c r="P7" s="34" t="e">
        <f>COUNTIFS(#REF!,$C$3,#REF!,"市町村等参加訓練",#REF!,"中濃")</f>
        <v>#REF!</v>
      </c>
      <c r="Q7" s="42" t="e">
        <f>COUNTIFS(#REF!,$C$3,#REF!,"災害予防活動",#REF!,"中濃")</f>
        <v>#REF!</v>
      </c>
      <c r="R7" s="43"/>
      <c r="S7" s="44" t="e">
        <f>COUNTIFS(#REF!,$C$3,#REF!,"行政利用",#REF!,"中濃")</f>
        <v>#REF!</v>
      </c>
      <c r="T7" s="40" t="e">
        <f t="shared" si="5"/>
        <v>#REF!</v>
      </c>
      <c r="U7" s="40" t="e">
        <f>COUNTIFS(#REF!,$C$3,#REF!,"その他",#REF!,"中濃")</f>
        <v>#REF!</v>
      </c>
      <c r="V7" s="45" t="e">
        <f t="shared" si="6"/>
        <v>#REF!</v>
      </c>
    </row>
    <row r="8" spans="1:22" ht="9.9499999999999993" customHeight="1" x14ac:dyDescent="0.4">
      <c r="C8" s="32" t="s">
        <v>22</v>
      </c>
      <c r="D8" s="33" t="e">
        <f>COUNTIFS(#REF!,$C$3,#REF!,"東濃",#REF!,"火災防御活動")</f>
        <v>#REF!</v>
      </c>
      <c r="E8" s="34" t="e">
        <f>COUNTIFS(#REF!,$C$3,#REF!,"東濃",#REF!,"捜索救助活動")</f>
        <v>#REF!</v>
      </c>
      <c r="F8" s="34" t="e">
        <f>COUNTIFS(#REF!,$C$3,#REF!,"東濃",#REF!,"救急搬送活動")</f>
        <v>#REF!</v>
      </c>
      <c r="G8" s="34" t="e">
        <f>COUNTIFS(#REF!,$C$3,#REF!,"東濃",#REF!,"災害応急対策活動")</f>
        <v>#REF!</v>
      </c>
      <c r="H8" s="35" t="e">
        <f t="shared" si="0"/>
        <v>#REF!</v>
      </c>
      <c r="I8" s="36" t="e">
        <f>COUNTIFS(#REF!,$C$3,#REF!,"受援",#REF!,"広域航空消防応援",#REF!,"東濃")</f>
        <v>#REF!</v>
      </c>
      <c r="J8" s="37" t="e">
        <f t="shared" si="1"/>
        <v>#REF!</v>
      </c>
      <c r="K8" s="38" t="e">
        <f t="shared" si="2"/>
        <v>#REF!</v>
      </c>
      <c r="L8" s="36" t="e">
        <f>COUNTIFS(#REF!,$C$3,#REF!,"受援",#REF!,"航空消防防災相互応援",#REF!,"東濃")</f>
        <v>#REF!</v>
      </c>
      <c r="M8" s="39" t="e">
        <f t="shared" si="3"/>
        <v>#REF!</v>
      </c>
      <c r="N8" s="40" t="e">
        <f t="shared" si="4"/>
        <v>#REF!</v>
      </c>
      <c r="O8" s="41" t="e">
        <f>COUNTIFS(#REF!,$C$3,#REF!,"自隊訓練",#REF!,"東濃")</f>
        <v>#REF!</v>
      </c>
      <c r="P8" s="34" t="e">
        <f>COUNTIFS(#REF!,$C$3,#REF!,"市町村等参加訓練",#REF!,"東濃")</f>
        <v>#REF!</v>
      </c>
      <c r="Q8" s="42" t="e">
        <f>COUNTIFS(#REF!,$C$3,#REF!,"災害予防活動",#REF!,"東濃")</f>
        <v>#REF!</v>
      </c>
      <c r="R8" s="43"/>
      <c r="S8" s="44" t="e">
        <f>COUNTIFS(#REF!,$C$3,#REF!,"行政利用",#REF!,"東濃")</f>
        <v>#REF!</v>
      </c>
      <c r="T8" s="40" t="e">
        <f t="shared" si="5"/>
        <v>#REF!</v>
      </c>
      <c r="U8" s="40" t="e">
        <f>COUNTIFS(#REF!,$C$3,#REF!,"その他",#REF!,"東濃")</f>
        <v>#REF!</v>
      </c>
      <c r="V8" s="45" t="e">
        <f t="shared" si="6"/>
        <v>#REF!</v>
      </c>
    </row>
    <row r="9" spans="1:22" ht="9.9499999999999993" customHeight="1" x14ac:dyDescent="0.4">
      <c r="C9" s="32" t="s">
        <v>23</v>
      </c>
      <c r="D9" s="33" t="e">
        <f>COUNTIFS(#REF!,$C$3,#REF!,"飛騨",#REF!,"火災防御活動")</f>
        <v>#REF!</v>
      </c>
      <c r="E9" s="34" t="e">
        <f>COUNTIFS(#REF!,$C$3,#REF!,"飛騨",#REF!,"捜索救助活動")</f>
        <v>#REF!</v>
      </c>
      <c r="F9" s="34" t="e">
        <f>COUNTIFS(#REF!,$C$3,#REF!,"飛騨",#REF!,"救急搬送活動")</f>
        <v>#REF!</v>
      </c>
      <c r="G9" s="34" t="e">
        <f>COUNTIFS(#REF!,$C$3,#REF!,"飛騨",#REF!,"災害応急対策活動")</f>
        <v>#REF!</v>
      </c>
      <c r="H9" s="35" t="e">
        <f t="shared" si="0"/>
        <v>#REF!</v>
      </c>
      <c r="I9" s="36" t="e">
        <f>COUNTIFS(#REF!,$C$3,#REF!,"受援",#REF!,"広域航空消防応援",#REF!,"飛騨")</f>
        <v>#REF!</v>
      </c>
      <c r="J9" s="37" t="e">
        <f t="shared" si="1"/>
        <v>#REF!</v>
      </c>
      <c r="K9" s="38" t="e">
        <f t="shared" si="2"/>
        <v>#REF!</v>
      </c>
      <c r="L9" s="36" t="e">
        <f>COUNTIFS(#REF!,$C$3,#REF!,"受援",#REF!,"航空消防防災相互応援",#REF!,"飛騨")</f>
        <v>#REF!</v>
      </c>
      <c r="M9" s="39" t="e">
        <f t="shared" si="3"/>
        <v>#REF!</v>
      </c>
      <c r="N9" s="40" t="e">
        <f t="shared" si="4"/>
        <v>#REF!</v>
      </c>
      <c r="O9" s="41" t="e">
        <f>COUNTIFS(#REF!,$C$3,#REF!,"自隊訓練",#REF!,"飛騨")</f>
        <v>#REF!</v>
      </c>
      <c r="P9" s="34" t="e">
        <f>COUNTIFS(#REF!,$C$3,#REF!,"市町村等参加訓練",#REF!,"飛騨")</f>
        <v>#REF!</v>
      </c>
      <c r="Q9" s="42" t="e">
        <f>COUNTIFS(#REF!,$C$3,#REF!,"災害予防活動",#REF!,"飛騨")</f>
        <v>#REF!</v>
      </c>
      <c r="R9" s="43"/>
      <c r="S9" s="44" t="e">
        <f>COUNTIFS(#REF!,$C$3,#REF!,"行政利用",#REF!,"飛騨")</f>
        <v>#REF!</v>
      </c>
      <c r="T9" s="40" t="e">
        <f t="shared" si="5"/>
        <v>#REF!</v>
      </c>
      <c r="U9" s="40" t="e">
        <f>COUNTIFS(#REF!,$C$3,#REF!,"その他",#REF!,"飛騨")</f>
        <v>#REF!</v>
      </c>
      <c r="V9" s="45" t="e">
        <f t="shared" si="6"/>
        <v>#REF!</v>
      </c>
    </row>
    <row r="10" spans="1:22" ht="9.9499999999999993" customHeight="1" x14ac:dyDescent="0.4">
      <c r="C10" s="32" t="s">
        <v>24</v>
      </c>
      <c r="D10" s="33" t="e">
        <f>COUNTIFS(#REF!,$C$3,#REF!,"県内",#REF!,"火災防御活動")</f>
        <v>#REF!</v>
      </c>
      <c r="E10" s="34" t="e">
        <f>COUNTIFS(#REF!,$C$3,#REF!,"県内",#REF!,"捜索救助活動")</f>
        <v>#REF!</v>
      </c>
      <c r="F10" s="34" t="e">
        <f>COUNTIFS(#REF!,$C$3,#REF!,"県内",#REF!,"救急搬送活動")</f>
        <v>#REF!</v>
      </c>
      <c r="G10" s="34" t="e">
        <f>COUNTIFS(#REF!,$C$3,#REF!,"県内",#REF!,"災害応急対策活動")</f>
        <v>#REF!</v>
      </c>
      <c r="H10" s="35" t="e">
        <f t="shared" si="0"/>
        <v>#REF!</v>
      </c>
      <c r="I10" s="36" t="e">
        <f>COUNTIFS(#REF!,$C$3,#REF!,"受援",#REF!,"広域航空消防応援",#REF!,"県内")</f>
        <v>#REF!</v>
      </c>
      <c r="J10" s="37" t="e">
        <f t="shared" si="1"/>
        <v>#REF!</v>
      </c>
      <c r="K10" s="38" t="e">
        <f t="shared" si="2"/>
        <v>#REF!</v>
      </c>
      <c r="L10" s="36" t="e">
        <f>COUNTIFS(#REF!,$C$3,#REF!,"受援",#REF!,"航空消防防災相互応援",#REF!,"県内")</f>
        <v>#REF!</v>
      </c>
      <c r="M10" s="39" t="e">
        <f t="shared" si="3"/>
        <v>#REF!</v>
      </c>
      <c r="N10" s="40" t="e">
        <f t="shared" si="4"/>
        <v>#REF!</v>
      </c>
      <c r="O10" s="41" t="e">
        <f>COUNTIFS(#REF!,$C$3,#REF!,"自隊訓練",#REF!,"県内")</f>
        <v>#REF!</v>
      </c>
      <c r="P10" s="34" t="e">
        <f>COUNTIFS(#REF!,$C$3,#REF!,"市町村等参加訓練",#REF!,"県内")</f>
        <v>#REF!</v>
      </c>
      <c r="Q10" s="42" t="e">
        <f>COUNTIFS(#REF!,$C$3,#REF!,"災害予防活動",#REF!,"県内")</f>
        <v>#REF!</v>
      </c>
      <c r="R10" s="46"/>
      <c r="S10" s="44" t="e">
        <f>COUNTIFS(#REF!,$C$3,#REF!,"行政利用",#REF!,"県内")</f>
        <v>#REF!</v>
      </c>
      <c r="T10" s="40" t="e">
        <f t="shared" si="5"/>
        <v>#REF!</v>
      </c>
      <c r="U10" s="40" t="e">
        <f>COUNTIFS(#REF!,$C$3,#REF!,"その他",#REF!,"県内")</f>
        <v>#REF!</v>
      </c>
      <c r="V10" s="45" t="e">
        <f t="shared" si="6"/>
        <v>#REF!</v>
      </c>
    </row>
    <row r="11" spans="1:22" ht="9.9499999999999993" customHeight="1" x14ac:dyDescent="0.4">
      <c r="C11" s="47" t="s">
        <v>25</v>
      </c>
      <c r="D11" s="48" t="e">
        <f>COUNTIFS(#REF!,$C$3,#REF!,"火災防御活動")-SUM(D5:D10)</f>
        <v>#REF!</v>
      </c>
      <c r="E11" s="49" t="e">
        <f>COUNTIFS(#REF!,$C$3,#REF!,"捜索救助活動")-SUM(E5:E10)</f>
        <v>#REF!</v>
      </c>
      <c r="F11" s="49" t="e">
        <f>COUNTIFS(#REF!,$C$3,#REF!,"救急搬送活動")-SUM(F5:F10)</f>
        <v>#REF!</v>
      </c>
      <c r="G11" s="49" t="e">
        <f>COUNTIFS(#REF!,$C$3,#REF!,"災害応急対策活動")-SUM(G5:G10)</f>
        <v>#REF!</v>
      </c>
      <c r="H11" s="50"/>
      <c r="I11" s="51" t="e">
        <f>COUNTIFS(#REF!,$C$3,#REF!,"広域航空消防応援")</f>
        <v>#REF!</v>
      </c>
      <c r="J11" s="52"/>
      <c r="K11" s="50"/>
      <c r="L11" s="51" t="e">
        <f>COUNTIFS(#REF!,$C$3,#REF!,"航空消防防災相互応援")</f>
        <v>#REF!</v>
      </c>
      <c r="M11" s="51"/>
      <c r="N11" s="53" t="e">
        <f>SUM(D11:G11,I11,L11)</f>
        <v>#REF!</v>
      </c>
      <c r="O11" s="54" t="e">
        <f>COUNTIFS(#REF!,$C$3,#REF!,"自隊訓練")-SUM(O5:O10)</f>
        <v>#REF!</v>
      </c>
      <c r="P11" s="55" t="e">
        <f>COUNTIFS(#REF!,$C$3,#REF!,"市町村等参加訓練")-SUM(P5:P10)</f>
        <v>#REF!</v>
      </c>
      <c r="Q11" s="56" t="e">
        <f>COUNTIFS(#REF!,$C$3,#REF!,"災害予防活動")-SUM(Q5:Q10)</f>
        <v>#REF!</v>
      </c>
      <c r="R11" s="42" t="e">
        <f>COUNTIFS(#REF!,$C$3,#REF!,"県外訓練")</f>
        <v>#REF!</v>
      </c>
      <c r="S11" s="57" t="e">
        <f>COUNTIFS(#REF!,$C$3,#REF!,"行政利用")-SUM(S5:S10)</f>
        <v>#REF!</v>
      </c>
      <c r="T11" s="58" t="e">
        <f t="shared" si="5"/>
        <v>#REF!</v>
      </c>
      <c r="U11" s="59" t="e">
        <f>COUNTIFS(#REF!,$C$3,#REF!,"その他")-SUM(U5:U10)</f>
        <v>#REF!</v>
      </c>
      <c r="V11" s="60" t="e">
        <f t="shared" si="6"/>
        <v>#REF!</v>
      </c>
    </row>
    <row r="12" spans="1:22" ht="9.9499999999999993" customHeight="1" x14ac:dyDescent="0.4">
      <c r="C12" s="61" t="s">
        <v>26</v>
      </c>
      <c r="D12" s="62" t="e">
        <f>SUM(D5:D11)</f>
        <v>#REF!</v>
      </c>
      <c r="E12" s="63" t="e">
        <f>SUM(E5:E11)</f>
        <v>#REF!</v>
      </c>
      <c r="F12" s="63" t="e">
        <f>SUM(F5:F11)</f>
        <v>#REF!</v>
      </c>
      <c r="G12" s="63" t="e">
        <f>SUM(G5:G11)</f>
        <v>#REF!</v>
      </c>
      <c r="H12" s="64"/>
      <c r="I12" s="64" t="e">
        <f>I11</f>
        <v>#REF!</v>
      </c>
      <c r="J12" s="64"/>
      <c r="K12" s="65"/>
      <c r="L12" s="64" t="e">
        <f>L11</f>
        <v>#REF!</v>
      </c>
      <c r="M12" s="66"/>
      <c r="N12" s="67" t="e">
        <f>SUM(D12:L12)</f>
        <v>#REF!</v>
      </c>
      <c r="O12" s="68" t="e">
        <f>SUM(O5:O11)</f>
        <v>#REF!</v>
      </c>
      <c r="P12" s="69" t="e">
        <f>SUM(P5:P11)</f>
        <v>#REF!</v>
      </c>
      <c r="Q12" s="65" t="e">
        <f>SUM(Q5:Q11)</f>
        <v>#REF!</v>
      </c>
      <c r="R12" s="65" t="e">
        <f>SUM(R5:R11)</f>
        <v>#REF!</v>
      </c>
      <c r="S12" s="69" t="e">
        <f>SUM(S5:S11)</f>
        <v>#REF!</v>
      </c>
      <c r="T12" s="70" t="e">
        <f>SUM(O12:S12)</f>
        <v>#REF!</v>
      </c>
      <c r="U12" s="70" t="e">
        <f>SUM(U5:U11)</f>
        <v>#REF!</v>
      </c>
      <c r="V12" s="70" t="e">
        <f>N12+T12+U12</f>
        <v>#REF!</v>
      </c>
    </row>
    <row r="13" spans="1:22" ht="9.9499999999999993" customHeight="1" x14ac:dyDescent="0.4">
      <c r="O13" t="s">
        <v>27</v>
      </c>
    </row>
    <row r="14" spans="1:22" ht="9.9499999999999993" customHeight="1" x14ac:dyDescent="0.4"/>
    <row r="15" spans="1:22" ht="9.9499999999999993" customHeight="1" x14ac:dyDescent="0.4"/>
    <row r="16" spans="1:22" ht="21" customHeight="1" x14ac:dyDescent="0.4">
      <c r="A16" s="71">
        <v>4</v>
      </c>
    </row>
    <row r="17" spans="1:22" ht="20.100000000000001" customHeight="1" x14ac:dyDescent="0.4">
      <c r="A17" s="71"/>
      <c r="C17" s="72" t="s">
        <v>28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</row>
    <row r="18" spans="1:22" ht="20.100000000000001" customHeight="1" x14ac:dyDescent="0.4">
      <c r="A18" s="71"/>
      <c r="C18" s="3" t="s">
        <v>29</v>
      </c>
      <c r="D18" s="73" t="s">
        <v>1</v>
      </c>
      <c r="E18" s="74"/>
      <c r="F18" s="74"/>
      <c r="G18" s="74"/>
      <c r="H18" s="74"/>
      <c r="I18" s="74"/>
      <c r="J18" s="74"/>
      <c r="K18" s="74"/>
      <c r="L18" s="74"/>
      <c r="M18" s="74"/>
      <c r="N18" s="75"/>
      <c r="O18" s="73" t="s">
        <v>2</v>
      </c>
      <c r="P18" s="74"/>
      <c r="Q18" s="74"/>
      <c r="R18" s="74"/>
      <c r="S18" s="74"/>
      <c r="T18" s="75"/>
      <c r="U18" s="7" t="s">
        <v>3</v>
      </c>
      <c r="V18" s="7" t="s">
        <v>4</v>
      </c>
    </row>
    <row r="19" spans="1:22" ht="153" customHeight="1" x14ac:dyDescent="0.4">
      <c r="A19" s="71"/>
      <c r="C19" s="8" t="s">
        <v>5</v>
      </c>
      <c r="D19" s="9" t="s">
        <v>6</v>
      </c>
      <c r="E19" s="10" t="s">
        <v>7</v>
      </c>
      <c r="F19" s="10" t="s">
        <v>8</v>
      </c>
      <c r="G19" s="10" t="s">
        <v>9</v>
      </c>
      <c r="H19" s="11"/>
      <c r="I19" s="12" t="s">
        <v>10</v>
      </c>
      <c r="J19" s="13"/>
      <c r="K19" s="11"/>
      <c r="L19" s="12" t="s">
        <v>11</v>
      </c>
      <c r="M19" s="13"/>
      <c r="N19" s="14" t="s">
        <v>12</v>
      </c>
      <c r="O19" s="15" t="s">
        <v>13</v>
      </c>
      <c r="P19" s="10" t="s">
        <v>14</v>
      </c>
      <c r="Q19" s="10" t="s">
        <v>15</v>
      </c>
      <c r="R19" s="10" t="s">
        <v>16</v>
      </c>
      <c r="S19" s="11" t="s">
        <v>17</v>
      </c>
      <c r="T19" s="14" t="s">
        <v>18</v>
      </c>
      <c r="U19" s="16"/>
      <c r="V19" s="16"/>
    </row>
    <row r="20" spans="1:22" ht="39.950000000000003" customHeight="1" x14ac:dyDescent="0.4">
      <c r="A20" s="71"/>
      <c r="C20" s="17" t="s">
        <v>19</v>
      </c>
      <c r="D20" s="18"/>
      <c r="E20" s="19">
        <v>7</v>
      </c>
      <c r="F20" s="19">
        <v>7</v>
      </c>
      <c r="G20" s="19"/>
      <c r="H20" s="20"/>
      <c r="I20" s="21"/>
      <c r="J20" s="22"/>
      <c r="K20" s="23"/>
      <c r="L20" s="21"/>
      <c r="M20" s="24"/>
      <c r="N20" s="25">
        <v>14</v>
      </c>
      <c r="O20" s="76">
        <v>53</v>
      </c>
      <c r="P20" s="77">
        <v>5</v>
      </c>
      <c r="Q20" s="27"/>
      <c r="R20" s="28"/>
      <c r="S20" s="29">
        <v>1</v>
      </c>
      <c r="T20" s="25">
        <v>59</v>
      </c>
      <c r="U20" s="30">
        <v>10</v>
      </c>
      <c r="V20" s="31">
        <v>83</v>
      </c>
    </row>
    <row r="21" spans="1:22" ht="39.950000000000003" customHeight="1" x14ac:dyDescent="0.4">
      <c r="A21" s="71"/>
      <c r="C21" s="32" t="s">
        <v>20</v>
      </c>
      <c r="D21" s="33"/>
      <c r="E21" s="34">
        <v>5</v>
      </c>
      <c r="F21" s="34">
        <v>3</v>
      </c>
      <c r="G21" s="34"/>
      <c r="H21" s="35"/>
      <c r="I21" s="36"/>
      <c r="J21" s="37"/>
      <c r="K21" s="38"/>
      <c r="L21" s="36"/>
      <c r="M21" s="39"/>
      <c r="N21" s="40">
        <v>8</v>
      </c>
      <c r="O21" s="33">
        <v>73</v>
      </c>
      <c r="P21" s="34">
        <v>4</v>
      </c>
      <c r="Q21" s="42"/>
      <c r="R21" s="43"/>
      <c r="S21" s="44">
        <v>1</v>
      </c>
      <c r="T21" s="40">
        <v>78</v>
      </c>
      <c r="U21" s="40">
        <v>2</v>
      </c>
      <c r="V21" s="45">
        <v>88</v>
      </c>
    </row>
    <row r="22" spans="1:22" ht="39.950000000000003" customHeight="1" x14ac:dyDescent="0.4">
      <c r="A22" s="71"/>
      <c r="C22" s="32" t="s">
        <v>21</v>
      </c>
      <c r="D22" s="33">
        <v>4</v>
      </c>
      <c r="E22" s="34">
        <v>16</v>
      </c>
      <c r="F22" s="34">
        <v>10</v>
      </c>
      <c r="G22" s="34"/>
      <c r="H22" s="35"/>
      <c r="I22" s="36"/>
      <c r="J22" s="37"/>
      <c r="K22" s="38"/>
      <c r="L22" s="36"/>
      <c r="M22" s="39"/>
      <c r="N22" s="40">
        <v>30</v>
      </c>
      <c r="O22" s="33">
        <v>21</v>
      </c>
      <c r="P22" s="34">
        <v>6</v>
      </c>
      <c r="Q22" s="42"/>
      <c r="R22" s="43"/>
      <c r="S22" s="44"/>
      <c r="T22" s="40">
        <v>27</v>
      </c>
      <c r="U22" s="40"/>
      <c r="V22" s="45">
        <v>57</v>
      </c>
    </row>
    <row r="23" spans="1:22" ht="39.950000000000003" customHeight="1" x14ac:dyDescent="0.4">
      <c r="A23" s="71"/>
      <c r="C23" s="32" t="s">
        <v>22</v>
      </c>
      <c r="D23" s="33"/>
      <c r="E23" s="34">
        <v>3</v>
      </c>
      <c r="F23" s="34">
        <v>5</v>
      </c>
      <c r="G23" s="34"/>
      <c r="H23" s="35"/>
      <c r="I23" s="36"/>
      <c r="J23" s="37"/>
      <c r="K23" s="38"/>
      <c r="L23" s="36"/>
      <c r="M23" s="39"/>
      <c r="N23" s="40">
        <v>8</v>
      </c>
      <c r="O23" s="33">
        <v>73</v>
      </c>
      <c r="P23" s="34">
        <v>3</v>
      </c>
      <c r="Q23" s="42"/>
      <c r="R23" s="43"/>
      <c r="S23" s="44"/>
      <c r="T23" s="40">
        <v>76</v>
      </c>
      <c r="U23" s="40">
        <v>1</v>
      </c>
      <c r="V23" s="45">
        <v>85</v>
      </c>
    </row>
    <row r="24" spans="1:22" ht="39.950000000000003" customHeight="1" x14ac:dyDescent="0.4">
      <c r="A24" s="71"/>
      <c r="C24" s="32" t="s">
        <v>23</v>
      </c>
      <c r="D24" s="33">
        <v>1</v>
      </c>
      <c r="E24" s="34">
        <v>3</v>
      </c>
      <c r="F24" s="34">
        <v>3</v>
      </c>
      <c r="G24" s="34"/>
      <c r="H24" s="35"/>
      <c r="I24" s="36"/>
      <c r="J24" s="37"/>
      <c r="K24" s="38"/>
      <c r="L24" s="36"/>
      <c r="M24" s="39"/>
      <c r="N24" s="40">
        <v>7</v>
      </c>
      <c r="O24" s="33">
        <v>7</v>
      </c>
      <c r="P24" s="34">
        <v>6</v>
      </c>
      <c r="Q24" s="42">
        <v>1</v>
      </c>
      <c r="R24" s="43"/>
      <c r="S24" s="44"/>
      <c r="T24" s="40">
        <v>14</v>
      </c>
      <c r="U24" s="40"/>
      <c r="V24" s="45">
        <v>21</v>
      </c>
    </row>
    <row r="25" spans="1:22" ht="39.950000000000003" customHeight="1" x14ac:dyDescent="0.4">
      <c r="A25" s="71"/>
      <c r="C25" s="32" t="s">
        <v>24</v>
      </c>
      <c r="D25" s="33"/>
      <c r="E25" s="34"/>
      <c r="F25" s="34"/>
      <c r="G25" s="34"/>
      <c r="H25" s="35"/>
      <c r="I25" s="36"/>
      <c r="J25" s="37"/>
      <c r="K25" s="38"/>
      <c r="L25" s="36"/>
      <c r="M25" s="39"/>
      <c r="N25" s="40"/>
      <c r="O25" s="33">
        <v>1</v>
      </c>
      <c r="P25" s="34"/>
      <c r="Q25" s="42"/>
      <c r="R25" s="46"/>
      <c r="S25" s="44"/>
      <c r="T25" s="40">
        <v>1</v>
      </c>
      <c r="U25" s="40"/>
      <c r="V25" s="45">
        <v>1</v>
      </c>
    </row>
    <row r="26" spans="1:22" ht="39.950000000000003" customHeight="1" x14ac:dyDescent="0.4">
      <c r="A26" s="71"/>
      <c r="C26" s="47" t="s">
        <v>25</v>
      </c>
      <c r="D26" s="48"/>
      <c r="E26" s="49"/>
      <c r="F26" s="49"/>
      <c r="G26" s="49"/>
      <c r="H26" s="50"/>
      <c r="I26" s="51">
        <v>1</v>
      </c>
      <c r="J26" s="52"/>
      <c r="K26" s="50"/>
      <c r="L26" s="51">
        <v>5</v>
      </c>
      <c r="M26" s="51"/>
      <c r="N26" s="53">
        <v>6</v>
      </c>
      <c r="O26" s="78">
        <v>4</v>
      </c>
      <c r="P26" s="79"/>
      <c r="Q26" s="56"/>
      <c r="R26" s="42"/>
      <c r="S26" s="44"/>
      <c r="T26" s="58">
        <v>4</v>
      </c>
      <c r="U26" s="40">
        <v>4</v>
      </c>
      <c r="V26" s="60">
        <v>14</v>
      </c>
    </row>
    <row r="27" spans="1:22" ht="39.950000000000003" customHeight="1" x14ac:dyDescent="0.4">
      <c r="A27" s="71"/>
      <c r="C27" s="61" t="s">
        <v>26</v>
      </c>
      <c r="D27" s="62">
        <v>5</v>
      </c>
      <c r="E27" s="63">
        <v>34</v>
      </c>
      <c r="F27" s="63">
        <v>28</v>
      </c>
      <c r="G27" s="63"/>
      <c r="H27" s="64"/>
      <c r="I27" s="64">
        <v>1</v>
      </c>
      <c r="J27" s="64"/>
      <c r="K27" s="65"/>
      <c r="L27" s="64">
        <v>5</v>
      </c>
      <c r="M27" s="66"/>
      <c r="N27" s="67">
        <v>73</v>
      </c>
      <c r="O27" s="68">
        <v>232</v>
      </c>
      <c r="P27" s="69">
        <v>24</v>
      </c>
      <c r="Q27" s="65">
        <v>1</v>
      </c>
      <c r="R27" s="65"/>
      <c r="S27" s="69">
        <v>2</v>
      </c>
      <c r="T27" s="70">
        <v>259</v>
      </c>
      <c r="U27" s="70">
        <f>SUM(U20:U26)</f>
        <v>17</v>
      </c>
      <c r="V27" s="70">
        <v>349</v>
      </c>
    </row>
  </sheetData>
  <mergeCells count="13">
    <mergeCell ref="A16:A27"/>
    <mergeCell ref="C17:V17"/>
    <mergeCell ref="D18:N18"/>
    <mergeCell ref="O18:T18"/>
    <mergeCell ref="U18:U19"/>
    <mergeCell ref="V18:V19"/>
    <mergeCell ref="R20:R25"/>
    <mergeCell ref="C1:V1"/>
    <mergeCell ref="D3:N3"/>
    <mergeCell ref="O3:T3"/>
    <mergeCell ref="U3:U4"/>
    <mergeCell ref="V3:V4"/>
    <mergeCell ref="R5:R10"/>
  </mergeCells>
  <phoneticPr fontId="1"/>
  <pageMargins left="0.31496062992125984" right="0.55118110236220474" top="0.46" bottom="0.22" header="0.31496062992125984" footer="0.16"/>
  <pageSetup paperSize="9" scale="97" orientation="landscape" horizontalDpi="4294967293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地域別</vt:lpstr>
      <vt:lpstr>地域別!Print_Area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2022-10-31T04:58:21Z</dcterms:created>
  <dcterms:modified xsi:type="dcterms:W3CDTF">2022-10-31T04:58:36Z</dcterms:modified>
</cp:coreProperties>
</file>